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3.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drawings/drawing4.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harts/colors1.xml" ContentType="application/vnd.ms-office.chartcolorstyle+xml"/>
  <Override PartName="/xl/charts/style1.xml" ContentType="application/vnd.ms-office.chartstyle+xml"/>
  <Override PartName="/xl/charts/colors2.xml" ContentType="application/vnd.ms-office.chartcolorstyle+xml"/>
  <Override PartName="/xl/charts/style2.xml" ContentType="application/vnd.ms-office.chartstyle+xml"/>
  <Override PartName="/xl/charts/colors3.xml" ContentType="application/vnd.ms-office.chartcolorstyle+xml"/>
  <Override PartName="/xl/charts/style3.xml" ContentType="application/vnd.ms-office.chartstyle+xml"/>
  <Override PartName="/xl/charts/colors4.xml" ContentType="application/vnd.ms-office.chartcolorstyle+xml"/>
  <Override PartName="/xl/charts/style4.xml" ContentType="application/vnd.ms-office.chartstyle+xml"/>
  <Override PartName="/xl/charts/colors5.xml" ContentType="application/vnd.ms-office.chartcolorstyle+xml"/>
  <Override PartName="/xl/charts/style5.xml" ContentType="application/vnd.ms-office.chartstyle+xml"/>
  <Override PartName="/xl/charts/colors6.xml" ContentType="application/vnd.ms-office.chartcolorstyle+xml"/>
  <Override PartName="/xl/charts/style6.xml" ContentType="application/vnd.ms-office.chartstyle+xml"/>
  <Override PartName="/xl/charts/colors7.xml" ContentType="application/vnd.ms-office.chartcolorstyle+xml"/>
  <Override PartName="/xl/charts/style7.xml" ContentType="application/vnd.ms-office.chartstyle+xml"/>
  <Override PartName="/xl/charts/colors8.xml" ContentType="application/vnd.ms-office.chartcolorstyle+xml"/>
  <Override PartName="/xl/charts/style8.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9320" windowHeight="7755" tabRatio="790" activeTab="7"/>
  </bookViews>
  <sheets>
    <sheet name="Escala" sheetId="11" r:id="rId1"/>
    <sheet name="Metas" sheetId="1" r:id="rId2"/>
    <sheet name="Plan" sheetId="2" r:id="rId3"/>
    <sheet name="Descripcion Evi." sheetId="3" r:id="rId4"/>
    <sheet name="Ejecucion" sheetId="4" r:id="rId5"/>
    <sheet name="1 Trimestre" sheetId="5" r:id="rId6"/>
    <sheet name="2 Trimestre" sheetId="10" r:id="rId7"/>
    <sheet name="3 Trimestre" sheetId="12" r:id="rId8"/>
    <sheet name="Cumplimiento" sheetId="6" state="hidden" r:id="rId9"/>
    <sheet name="Proyectos" sheetId="7" state="hidden" r:id="rId10"/>
    <sheet name="Plan desarroollo" sheetId="8" state="hidden" r:id="rId11"/>
    <sheet name="PFormacion" sheetId="9" state="hidden" r:id="rId12"/>
    <sheet name="Hoja2" sheetId="13" state="hidden" r:id="rId13"/>
  </sheets>
  <definedNames>
    <definedName name="Z_FC774746_3857_4381_B35D_AC071296263D_.wvu.Cols" localSheetId="1" hidden="1">Metas!$AO:$XFD</definedName>
    <definedName name="Z_FC774746_3857_4381_B35D_AC071296263D_.wvu.Rows" localSheetId="4" hidden="1">Ejecucion!$57:$59,Ejecucion!#REF!,Ejecucion!#REF!</definedName>
    <definedName name="Z_FC774746_3857_4381_B35D_AC071296263D_.wvu.Rows" localSheetId="1" hidden="1">Metas!$133:$1048576,Metas!$123:$132</definedName>
    <definedName name="Z_FC774746_3857_4381_B35D_AC071296263D_.wvu.Rows" localSheetId="2" hidden="1">Plan!$135:$1048576,Plan!$124:$134</definedName>
  </definedNames>
  <calcPr calcId="145621"/>
  <customWorkbookViews>
    <customWorkbookView name="Ancizar - Vista personalizada" guid="{FC774746-3857-4381-B35D-AC071296263D}" mergeInterval="0" personalView="1" maximized="1" windowWidth="1276" windowHeight="741" tabRatio="790" activeSheetId="2"/>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6" i="1" l="1"/>
  <c r="U56" i="2" l="1"/>
  <c r="U51" i="2"/>
  <c r="U53" i="2"/>
  <c r="U52" i="2"/>
  <c r="U50" i="2"/>
  <c r="U48" i="2"/>
  <c r="U41" i="2"/>
  <c r="U40" i="2"/>
  <c r="U36" i="2"/>
  <c r="U34" i="2"/>
  <c r="AJ63" i="1"/>
  <c r="AK63" i="1"/>
  <c r="AJ64" i="1"/>
  <c r="AK64" i="1"/>
  <c r="AJ65" i="1"/>
  <c r="AK65" i="1"/>
  <c r="AJ120" i="1" l="1"/>
  <c r="AK120" i="1"/>
  <c r="AJ91" i="1"/>
  <c r="AK91" i="1" s="1"/>
  <c r="AJ92" i="1"/>
  <c r="AK92" i="1"/>
  <c r="AJ93" i="1"/>
  <c r="AK93" i="1"/>
  <c r="AI121" i="1"/>
  <c r="AI120" i="1"/>
  <c r="AI119" i="1"/>
  <c r="AI118" i="1"/>
  <c r="AI117" i="1"/>
  <c r="AI116" i="1"/>
  <c r="AI115" i="1"/>
  <c r="AI114" i="1"/>
  <c r="AI113" i="1"/>
  <c r="AI112" i="1"/>
  <c r="AI111" i="1"/>
  <c r="AI110" i="1"/>
  <c r="AI109" i="1"/>
  <c r="AI108" i="1"/>
  <c r="AI107" i="1"/>
  <c r="AI106" i="1"/>
  <c r="AI105" i="1"/>
  <c r="AI104" i="1"/>
  <c r="AI103" i="1"/>
  <c r="AI102" i="1"/>
  <c r="AI101" i="1"/>
  <c r="AI100" i="1"/>
  <c r="AI99" i="1"/>
  <c r="AI98" i="1"/>
  <c r="AI97" i="1"/>
  <c r="AI96" i="1"/>
  <c r="AI95" i="1"/>
  <c r="AI94" i="1"/>
  <c r="AI93" i="1"/>
  <c r="AI92" i="1"/>
  <c r="AI91" i="1"/>
  <c r="AI90" i="1"/>
  <c r="AI89" i="1"/>
  <c r="AI88" i="1"/>
  <c r="AI87" i="1"/>
  <c r="AI86" i="1"/>
  <c r="AI85" i="1"/>
  <c r="AI84" i="1"/>
  <c r="AI83" i="1"/>
  <c r="AI82" i="1"/>
  <c r="AI81" i="1"/>
  <c r="AI80" i="1"/>
  <c r="AI79" i="1"/>
  <c r="AI78" i="1"/>
  <c r="AI77" i="1"/>
  <c r="AI76" i="1"/>
  <c r="AI75" i="1"/>
  <c r="AI74" i="1"/>
  <c r="AI73" i="1"/>
  <c r="AI72" i="1"/>
  <c r="AI71" i="1"/>
  <c r="AI70" i="1"/>
  <c r="AI69" i="1"/>
  <c r="AI68" i="1"/>
  <c r="AI67" i="1"/>
  <c r="AI66" i="1"/>
  <c r="AI65" i="1"/>
  <c r="AI64" i="1"/>
  <c r="AI63" i="1"/>
  <c r="AI62" i="1"/>
  <c r="AI61" i="1"/>
  <c r="AI60" i="1"/>
  <c r="AI59" i="1"/>
  <c r="AI58" i="1"/>
  <c r="AI57" i="1"/>
  <c r="AI56" i="1"/>
  <c r="AI55" i="1"/>
  <c r="AI54" i="1"/>
  <c r="AI53" i="1"/>
  <c r="AI52" i="1"/>
  <c r="AI51" i="1"/>
  <c r="AI50" i="1"/>
  <c r="AI49" i="1"/>
  <c r="AI48" i="1"/>
  <c r="AI47" i="1"/>
  <c r="AI46" i="1"/>
  <c r="AI45" i="1"/>
  <c r="AI44" i="1"/>
  <c r="AI43" i="1"/>
  <c r="AI42" i="1"/>
  <c r="AI41" i="1"/>
  <c r="AI40" i="1"/>
  <c r="AI39" i="1"/>
  <c r="AI38" i="1"/>
  <c r="AI37" i="1"/>
  <c r="AI36" i="1"/>
  <c r="AI35" i="1"/>
  <c r="AI34" i="1"/>
  <c r="AI33" i="1"/>
  <c r="AI32" i="1"/>
  <c r="AI31" i="1"/>
  <c r="AI30" i="1"/>
  <c r="AI29" i="1"/>
  <c r="AI28" i="1"/>
  <c r="AI27" i="1"/>
  <c r="AI26" i="1"/>
  <c r="AI25" i="1"/>
  <c r="AI24" i="1"/>
  <c r="AI23" i="1"/>
  <c r="AI22" i="1"/>
  <c r="AI21" i="1"/>
  <c r="AI20" i="1"/>
  <c r="AI19" i="1"/>
  <c r="AI18" i="1"/>
  <c r="AI17" i="1"/>
  <c r="AI16" i="1"/>
  <c r="AI15" i="1"/>
  <c r="AI14" i="1"/>
  <c r="AI13" i="1"/>
  <c r="AI12" i="1"/>
  <c r="AI11" i="1"/>
  <c r="AI10" i="1"/>
  <c r="AI9" i="1"/>
  <c r="AI8" i="1"/>
  <c r="AI7" i="1"/>
  <c r="AI5" i="1"/>
  <c r="AI4" i="1"/>
  <c r="AI3" i="1"/>
  <c r="AC33" i="1"/>
  <c r="AC32" i="1"/>
  <c r="AC31" i="1"/>
  <c r="AC30" i="1"/>
  <c r="AC29" i="1"/>
  <c r="AC28" i="1"/>
  <c r="AC27" i="1"/>
  <c r="AC26" i="1"/>
  <c r="AC25" i="1"/>
  <c r="AC24" i="1"/>
  <c r="AC23" i="1"/>
  <c r="AC22" i="1"/>
  <c r="AC21" i="1"/>
  <c r="AC20" i="1"/>
  <c r="AC19" i="1"/>
  <c r="AC18" i="1"/>
  <c r="AC17" i="1"/>
  <c r="AC16" i="1"/>
  <c r="AC15" i="1"/>
  <c r="AC14" i="1"/>
  <c r="AC13" i="1"/>
  <c r="AC12" i="1"/>
  <c r="AC11" i="1"/>
  <c r="AC10" i="1"/>
  <c r="AC9" i="1"/>
  <c r="AC8" i="1"/>
  <c r="AC7" i="1"/>
  <c r="AC6" i="1"/>
  <c r="AC5" i="1"/>
  <c r="AC4" i="1"/>
  <c r="AC3" i="1"/>
  <c r="Q113" i="2" l="1"/>
  <c r="R113" i="2"/>
  <c r="Q114" i="2"/>
  <c r="R114" i="2"/>
  <c r="Q115" i="2"/>
  <c r="R115" i="2"/>
  <c r="Q116" i="2"/>
  <c r="R116" i="2"/>
  <c r="Q117" i="2"/>
  <c r="R117" i="2"/>
  <c r="Q118" i="2"/>
  <c r="AC109" i="1"/>
  <c r="AD109" i="1" s="1"/>
  <c r="AE109" i="1" s="1"/>
  <c r="AB49" i="4"/>
  <c r="AB37" i="4"/>
  <c r="AA37" i="4"/>
  <c r="AB24" i="4"/>
  <c r="AA24" i="4"/>
  <c r="W23" i="1"/>
  <c r="AB114" i="1"/>
  <c r="AC107" i="1"/>
  <c r="AC104" i="1"/>
  <c r="AD116" i="1"/>
  <c r="AE116" i="1"/>
  <c r="AD117" i="1"/>
  <c r="AE117" i="1"/>
  <c r="AE118" i="1"/>
  <c r="AD119" i="1"/>
  <c r="AE119" i="1"/>
  <c r="AD120" i="1"/>
  <c r="AE120" i="1"/>
  <c r="AD121" i="1"/>
  <c r="AE121" i="1"/>
  <c r="AE106" i="1"/>
  <c r="AE107" i="1"/>
  <c r="AD111" i="1"/>
  <c r="AE111" i="1"/>
  <c r="AE115" i="1"/>
  <c r="AC115" i="1"/>
  <c r="K119" i="1"/>
  <c r="I119" i="1"/>
  <c r="G119" i="1"/>
  <c r="M119" i="1"/>
  <c r="AJ119" i="1"/>
  <c r="AK119" i="1"/>
  <c r="AP119" i="1"/>
  <c r="AQ119" i="1"/>
  <c r="AU119" i="1"/>
  <c r="AY119" i="1"/>
  <c r="BC119" i="1" s="1"/>
  <c r="AC121" i="1"/>
  <c r="AB118" i="1"/>
  <c r="AB117" i="1"/>
  <c r="AB116" i="1"/>
  <c r="AB115" i="1"/>
  <c r="AB111" i="1"/>
  <c r="AB107" i="1"/>
  <c r="AB106" i="1"/>
  <c r="AB17" i="4" l="1"/>
  <c r="P24" i="4"/>
  <c r="AD98" i="1"/>
  <c r="AE63" i="1"/>
  <c r="AE64" i="1"/>
  <c r="AE65" i="1"/>
  <c r="AE66" i="1"/>
  <c r="Q61" i="4"/>
  <c r="Q60" i="4"/>
  <c r="Q56" i="4"/>
  <c r="Q55" i="4"/>
  <c r="Q54" i="4"/>
  <c r="AA59" i="4"/>
  <c r="AA58" i="4"/>
  <c r="AA57" i="4"/>
  <c r="AB33" i="4"/>
  <c r="AB47" i="4"/>
  <c r="AB45" i="4"/>
  <c r="AA48" i="4"/>
  <c r="AB48" i="4" s="1"/>
  <c r="AA47" i="4"/>
  <c r="AA46" i="4"/>
  <c r="AB46" i="4" s="1"/>
  <c r="AA45" i="4"/>
  <c r="AA44" i="4"/>
  <c r="AB44" i="4" s="1"/>
  <c r="AA43" i="4"/>
  <c r="AB43" i="4" s="1"/>
  <c r="AA42" i="4"/>
  <c r="AB42" i="4" s="1"/>
  <c r="AA36" i="4"/>
  <c r="AB36" i="4" s="1"/>
  <c r="AA35" i="4"/>
  <c r="AB35" i="4" s="1"/>
  <c r="AA34" i="4"/>
  <c r="AB34" i="4" s="1"/>
  <c r="AA33" i="4"/>
  <c r="AA32" i="4"/>
  <c r="AB32" i="4" s="1"/>
  <c r="AA31" i="4"/>
  <c r="AB31" i="4" s="1"/>
  <c r="AA30" i="4"/>
  <c r="AB30" i="4" s="1"/>
  <c r="AA29" i="4"/>
  <c r="AB29" i="4" s="1"/>
  <c r="AB21" i="4"/>
  <c r="AB18" i="4"/>
  <c r="AA22" i="4"/>
  <c r="AB22" i="4" s="1"/>
  <c r="AA23" i="4"/>
  <c r="AB23" i="4" s="1"/>
  <c r="AA21" i="4"/>
  <c r="AA20" i="4"/>
  <c r="AB20" i="4" s="1"/>
  <c r="AA19" i="4"/>
  <c r="AB19" i="4" s="1"/>
  <c r="AA18" i="4"/>
  <c r="AA17" i="4"/>
  <c r="AA16" i="4"/>
  <c r="AB16" i="4" s="1"/>
  <c r="AA15" i="4"/>
  <c r="Q10" i="4"/>
  <c r="Q4" i="4"/>
  <c r="AC120" i="1"/>
  <c r="AC119" i="1"/>
  <c r="AC118" i="1"/>
  <c r="AC117" i="1"/>
  <c r="AC116" i="1"/>
  <c r="AC114" i="1"/>
  <c r="AC113" i="1"/>
  <c r="AC112" i="1"/>
  <c r="AC111" i="1"/>
  <c r="AC110" i="1"/>
  <c r="AC108" i="1"/>
  <c r="AC106" i="1"/>
  <c r="AC105" i="1"/>
  <c r="AC92" i="1"/>
  <c r="AC91" i="1"/>
  <c r="AC90" i="1"/>
  <c r="AC89" i="1"/>
  <c r="AC88" i="1"/>
  <c r="AC87" i="1"/>
  <c r="AD91" i="1"/>
  <c r="AE91" i="1" s="1"/>
  <c r="AE92" i="1"/>
  <c r="AC93" i="1"/>
  <c r="AE105" i="1" l="1"/>
  <c r="AD105" i="1"/>
  <c r="AE114" i="1"/>
  <c r="AE113" i="1"/>
  <c r="AE112" i="1"/>
  <c r="AD112" i="1"/>
  <c r="AE110" i="1"/>
  <c r="AD110" i="1"/>
  <c r="AE108" i="1"/>
  <c r="AB15" i="4"/>
  <c r="AA49" i="4"/>
  <c r="AE93" i="1"/>
  <c r="U116" i="2" l="1"/>
  <c r="W52" i="1" l="1"/>
  <c r="W34" i="1"/>
  <c r="AC52" i="1"/>
  <c r="AC40" i="1"/>
  <c r="AC63" i="1"/>
  <c r="AC64" i="1"/>
  <c r="AC65" i="1"/>
  <c r="N15" i="4" l="1"/>
  <c r="P15" i="4" s="1"/>
  <c r="M20" i="4"/>
  <c r="P20" i="4" s="1"/>
  <c r="N21" i="4"/>
  <c r="N20" i="4"/>
  <c r="N19" i="4"/>
  <c r="P19" i="4" s="1"/>
  <c r="P21" i="4"/>
  <c r="P17" i="4"/>
  <c r="P16" i="4"/>
  <c r="P8" i="4"/>
  <c r="C77" i="4"/>
  <c r="V61" i="4"/>
  <c r="V49" i="4"/>
  <c r="V37" i="4"/>
  <c r="V24" i="4"/>
  <c r="X60" i="4"/>
  <c r="X54" i="4"/>
  <c r="X56" i="4"/>
  <c r="X55" i="4"/>
  <c r="W60" i="4"/>
  <c r="W56" i="4"/>
  <c r="W55" i="4"/>
  <c r="W54" i="4"/>
  <c r="W59" i="4"/>
  <c r="W58" i="4"/>
  <c r="W57" i="4"/>
  <c r="W48" i="4"/>
  <c r="W47" i="4"/>
  <c r="W46" i="4"/>
  <c r="W45" i="4"/>
  <c r="W44" i="4"/>
  <c r="W43" i="4"/>
  <c r="W42" i="4"/>
  <c r="W36" i="4"/>
  <c r="W35" i="4"/>
  <c r="W34" i="4"/>
  <c r="W33" i="4"/>
  <c r="W32" i="4"/>
  <c r="W31" i="4"/>
  <c r="W30" i="4"/>
  <c r="W29" i="4"/>
  <c r="W16" i="4"/>
  <c r="W17" i="4"/>
  <c r="W18" i="4"/>
  <c r="W19" i="4"/>
  <c r="W20" i="4"/>
  <c r="W21" i="4"/>
  <c r="W22" i="4"/>
  <c r="W23" i="4"/>
  <c r="W15" i="4"/>
  <c r="W24" i="4" s="1"/>
  <c r="B4" i="12" s="1"/>
  <c r="X9" i="2"/>
  <c r="Y9" i="2"/>
  <c r="X10" i="2"/>
  <c r="Y10" i="2"/>
  <c r="X11" i="2"/>
  <c r="Y11" i="2"/>
  <c r="X12" i="2"/>
  <c r="Y12" i="2"/>
  <c r="X13" i="2"/>
  <c r="Y13" i="2"/>
  <c r="X14" i="2"/>
  <c r="Y14" i="2"/>
  <c r="X15" i="2"/>
  <c r="Y15" i="2"/>
  <c r="X16" i="2"/>
  <c r="Y16" i="2"/>
  <c r="X17" i="2"/>
  <c r="Y17" i="2"/>
  <c r="X18" i="2"/>
  <c r="Y18" i="2"/>
  <c r="X19" i="2"/>
  <c r="Y19" i="2"/>
  <c r="X20" i="2"/>
  <c r="Y20" i="2"/>
  <c r="X21" i="2"/>
  <c r="Y21" i="2"/>
  <c r="X22" i="2"/>
  <c r="Y22" i="2"/>
  <c r="X23" i="2"/>
  <c r="Y23" i="2"/>
  <c r="X24" i="2"/>
  <c r="Y24" i="2"/>
  <c r="X25" i="2"/>
  <c r="Y25" i="2"/>
  <c r="X26" i="2"/>
  <c r="Y26" i="2"/>
  <c r="X27" i="2"/>
  <c r="Y27" i="2"/>
  <c r="X28" i="2"/>
  <c r="Y28" i="2"/>
  <c r="X29" i="2"/>
  <c r="Y29" i="2"/>
  <c r="X30" i="2"/>
  <c r="Y30" i="2"/>
  <c r="X31" i="2"/>
  <c r="Y31" i="2"/>
  <c r="X32" i="2"/>
  <c r="Y32" i="2"/>
  <c r="X33" i="2"/>
  <c r="Y33" i="2"/>
  <c r="X34" i="2"/>
  <c r="Y34" i="2"/>
  <c r="X35" i="2"/>
  <c r="Y35" i="2"/>
  <c r="X36" i="2"/>
  <c r="Y36" i="2"/>
  <c r="X37" i="2"/>
  <c r="Y37" i="2"/>
  <c r="X38" i="2"/>
  <c r="Y38" i="2"/>
  <c r="X39" i="2"/>
  <c r="Y39" i="2"/>
  <c r="X40" i="2"/>
  <c r="Y40" i="2"/>
  <c r="X41" i="2"/>
  <c r="Y41" i="2"/>
  <c r="X42" i="2"/>
  <c r="Y42" i="2"/>
  <c r="X43" i="2"/>
  <c r="Y43" i="2"/>
  <c r="X44" i="2"/>
  <c r="Y44" i="2"/>
  <c r="X45" i="2"/>
  <c r="Y45" i="2"/>
  <c r="X46" i="2"/>
  <c r="Y46" i="2"/>
  <c r="X47" i="2"/>
  <c r="Y47" i="2"/>
  <c r="X48" i="2"/>
  <c r="Y48" i="2"/>
  <c r="X49" i="2"/>
  <c r="Y49" i="2"/>
  <c r="X50" i="2"/>
  <c r="Y50" i="2"/>
  <c r="X51" i="2"/>
  <c r="Y51" i="2"/>
  <c r="X52" i="2"/>
  <c r="Y52" i="2"/>
  <c r="X53" i="2"/>
  <c r="Y53" i="2"/>
  <c r="X54" i="2"/>
  <c r="Y54" i="2"/>
  <c r="X55" i="2"/>
  <c r="Y55" i="2"/>
  <c r="X56" i="2"/>
  <c r="Y56" i="2"/>
  <c r="X57" i="2"/>
  <c r="Y57" i="2"/>
  <c r="X58" i="2"/>
  <c r="Y58" i="2"/>
  <c r="X59" i="2"/>
  <c r="Y59" i="2"/>
  <c r="X60" i="2"/>
  <c r="Y60" i="2"/>
  <c r="X61" i="2"/>
  <c r="Y61" i="2"/>
  <c r="X62" i="2"/>
  <c r="Y62" i="2"/>
  <c r="X63" i="2"/>
  <c r="Y63" i="2"/>
  <c r="X64" i="2"/>
  <c r="Y64" i="2"/>
  <c r="X65" i="2"/>
  <c r="Y65" i="2"/>
  <c r="X66" i="2"/>
  <c r="Y66" i="2"/>
  <c r="X67" i="2"/>
  <c r="Y67" i="2"/>
  <c r="X68" i="2"/>
  <c r="Y68" i="2"/>
  <c r="X69" i="2"/>
  <c r="Y69" i="2"/>
  <c r="X70" i="2"/>
  <c r="Y70" i="2"/>
  <c r="X71" i="2"/>
  <c r="Y71" i="2"/>
  <c r="X72" i="2"/>
  <c r="Y72" i="2"/>
  <c r="X73" i="2"/>
  <c r="Y73" i="2"/>
  <c r="X74" i="2"/>
  <c r="Y74" i="2"/>
  <c r="X75" i="2"/>
  <c r="Y75" i="2"/>
  <c r="X76" i="2"/>
  <c r="Y76" i="2"/>
  <c r="X77" i="2"/>
  <c r="Y77" i="2"/>
  <c r="X78" i="2"/>
  <c r="Y78" i="2"/>
  <c r="X79" i="2"/>
  <c r="Y79" i="2"/>
  <c r="X80" i="2"/>
  <c r="Y80" i="2"/>
  <c r="X81" i="2"/>
  <c r="Y81" i="2"/>
  <c r="X82" i="2"/>
  <c r="Y82" i="2"/>
  <c r="X83" i="2"/>
  <c r="Y83" i="2"/>
  <c r="X84" i="2"/>
  <c r="Y84" i="2"/>
  <c r="X85" i="2"/>
  <c r="Y85" i="2"/>
  <c r="X86" i="2"/>
  <c r="Y86" i="2"/>
  <c r="X87" i="2"/>
  <c r="Y87" i="2"/>
  <c r="X88" i="2"/>
  <c r="Y88" i="2"/>
  <c r="X89" i="2"/>
  <c r="Y89" i="2"/>
  <c r="X90" i="2"/>
  <c r="Y90" i="2"/>
  <c r="X91" i="2"/>
  <c r="Y91" i="2"/>
  <c r="X92" i="2"/>
  <c r="Y92" i="2"/>
  <c r="X93" i="2"/>
  <c r="Y93" i="2"/>
  <c r="X94" i="2"/>
  <c r="Y94" i="2"/>
  <c r="X95" i="2"/>
  <c r="Y95" i="2"/>
  <c r="X96" i="2"/>
  <c r="Y96" i="2"/>
  <c r="X97" i="2"/>
  <c r="Y97" i="2"/>
  <c r="X98" i="2"/>
  <c r="Y98" i="2"/>
  <c r="X99" i="2"/>
  <c r="Y99" i="2"/>
  <c r="X100" i="2"/>
  <c r="Y100" i="2"/>
  <c r="X101" i="2"/>
  <c r="Y101" i="2"/>
  <c r="X102" i="2"/>
  <c r="Y102" i="2"/>
  <c r="X103" i="2"/>
  <c r="Y103" i="2"/>
  <c r="X104" i="2"/>
  <c r="Y104" i="2"/>
  <c r="X105" i="2"/>
  <c r="Y105" i="2"/>
  <c r="X106" i="2"/>
  <c r="Y106" i="2"/>
  <c r="X107" i="2"/>
  <c r="Y107" i="2"/>
  <c r="X108" i="2"/>
  <c r="Y108" i="2"/>
  <c r="X109" i="2"/>
  <c r="Y109" i="2"/>
  <c r="X110" i="2"/>
  <c r="Y110" i="2"/>
  <c r="X111" i="2"/>
  <c r="Y111" i="2"/>
  <c r="X112" i="2"/>
  <c r="Y112" i="2"/>
  <c r="X113" i="2"/>
  <c r="Y113" i="2"/>
  <c r="X114" i="2"/>
  <c r="Y114" i="2"/>
  <c r="X115" i="2"/>
  <c r="Y115" i="2"/>
  <c r="X116" i="2"/>
  <c r="Y116" i="2"/>
  <c r="X117" i="2"/>
  <c r="Y117" i="2"/>
  <c r="X118" i="2"/>
  <c r="Y118" i="2"/>
  <c r="X4" i="2"/>
  <c r="Y4" i="2"/>
  <c r="X5" i="2"/>
  <c r="Y5" i="2"/>
  <c r="X6" i="2"/>
  <c r="Y6" i="2"/>
  <c r="X7" i="2"/>
  <c r="Y7" i="2"/>
  <c r="X8" i="2"/>
  <c r="Y8" i="2"/>
  <c r="X3" i="2"/>
  <c r="W9" i="4"/>
  <c r="W8" i="4"/>
  <c r="W7" i="4"/>
  <c r="W6" i="4"/>
  <c r="W5" i="4"/>
  <c r="W4" i="4"/>
  <c r="W3" i="4"/>
  <c r="Q9" i="4"/>
  <c r="Q8" i="4"/>
  <c r="Q7" i="4"/>
  <c r="Q6" i="4"/>
  <c r="V10" i="4"/>
  <c r="Y3" i="2"/>
  <c r="Q3" i="2"/>
  <c r="W114" i="2"/>
  <c r="W118" i="2"/>
  <c r="U115" i="2"/>
  <c r="W115" i="2" s="1"/>
  <c r="W116" i="2"/>
  <c r="U117" i="2"/>
  <c r="W117" i="2" s="1"/>
  <c r="N6" i="2"/>
  <c r="U113" i="2"/>
  <c r="U108" i="2"/>
  <c r="U107" i="2"/>
  <c r="U106" i="2"/>
  <c r="U104" i="2"/>
  <c r="U103" i="2"/>
  <c r="U102" i="2"/>
  <c r="U101" i="2"/>
  <c r="U93" i="2"/>
  <c r="U88" i="2"/>
  <c r="U87" i="2"/>
  <c r="U84" i="2"/>
  <c r="U80" i="2"/>
  <c r="U77" i="2"/>
  <c r="U76" i="2"/>
  <c r="U75" i="2"/>
  <c r="U74" i="2"/>
  <c r="U73" i="2"/>
  <c r="U71" i="2"/>
  <c r="U70" i="2"/>
  <c r="U69" i="2"/>
  <c r="W113" i="2"/>
  <c r="W112" i="2"/>
  <c r="W111" i="2"/>
  <c r="W110" i="2"/>
  <c r="W109" i="2"/>
  <c r="W108" i="2"/>
  <c r="W107" i="2"/>
  <c r="W106" i="2"/>
  <c r="W105" i="2"/>
  <c r="W104" i="2"/>
  <c r="W103" i="2"/>
  <c r="W102" i="2"/>
  <c r="W101" i="2"/>
  <c r="W100" i="2"/>
  <c r="W99" i="2"/>
  <c r="W98" i="2"/>
  <c r="W97" i="2"/>
  <c r="W96" i="2"/>
  <c r="W95" i="2"/>
  <c r="W94" i="2"/>
  <c r="W93" i="2"/>
  <c r="W92" i="2"/>
  <c r="W91" i="2"/>
  <c r="W90" i="2"/>
  <c r="W89" i="2"/>
  <c r="W88" i="2"/>
  <c r="W87" i="2"/>
  <c r="W86" i="2"/>
  <c r="W85" i="2"/>
  <c r="W84" i="2"/>
  <c r="W83" i="2"/>
  <c r="W82" i="2"/>
  <c r="W81" i="2"/>
  <c r="W80" i="2"/>
  <c r="W79" i="2"/>
  <c r="W78" i="2"/>
  <c r="W77" i="2"/>
  <c r="W76" i="2"/>
  <c r="W75" i="2"/>
  <c r="W74" i="2"/>
  <c r="W73" i="2"/>
  <c r="W72" i="2"/>
  <c r="W71" i="2"/>
  <c r="W70" i="2"/>
  <c r="W69" i="2"/>
  <c r="P3" i="2"/>
  <c r="N7" i="2"/>
  <c r="W37" i="4" l="1"/>
  <c r="B5" i="12" s="1"/>
  <c r="W49" i="4"/>
  <c r="B6" i="12" s="1"/>
  <c r="Z37" i="4"/>
  <c r="AC37" i="4" s="1"/>
  <c r="W61" i="4"/>
  <c r="B7" i="12" s="1"/>
  <c r="W10" i="4"/>
  <c r="B3" i="12" s="1"/>
  <c r="B8" i="12" l="1"/>
  <c r="D16" i="4"/>
  <c r="D17" i="4"/>
  <c r="I104" i="1" l="1"/>
  <c r="Q104" i="1"/>
  <c r="W104" i="1" s="1"/>
  <c r="X104" i="1" s="1"/>
  <c r="Q121" i="1"/>
  <c r="R104" i="1" l="1"/>
  <c r="G54" i="4" s="1"/>
  <c r="J91" i="4" l="1"/>
  <c r="J82" i="4"/>
  <c r="M60" i="4" l="1"/>
  <c r="M59" i="4"/>
  <c r="M57" i="4"/>
  <c r="M46" i="4"/>
  <c r="M44" i="4"/>
  <c r="M43" i="4"/>
  <c r="M34" i="4"/>
  <c r="M33" i="4"/>
  <c r="M30" i="4"/>
  <c r="N3" i="4"/>
  <c r="L37" i="4"/>
  <c r="L24" i="4"/>
  <c r="J73" i="4"/>
  <c r="D3" i="4"/>
  <c r="C60" i="4"/>
  <c r="C59" i="4"/>
  <c r="C57" i="4"/>
  <c r="C46" i="4"/>
  <c r="C44" i="4"/>
  <c r="C43" i="4"/>
  <c r="C34" i="4"/>
  <c r="C33" i="4"/>
  <c r="C30" i="4"/>
  <c r="Q13" i="2"/>
  <c r="Q15" i="2"/>
  <c r="Q18" i="2"/>
  <c r="Q20" i="2"/>
  <c r="Q24" i="2"/>
  <c r="Q30" i="2"/>
  <c r="Q35" i="2"/>
  <c r="Q37" i="2"/>
  <c r="Q38" i="2"/>
  <c r="Q39" i="2"/>
  <c r="Q43" i="2"/>
  <c r="Q45" i="2"/>
  <c r="Q46" i="2"/>
  <c r="Q65" i="2"/>
  <c r="Q67" i="2"/>
  <c r="Q72" i="2"/>
  <c r="Q74" i="2"/>
  <c r="Q75" i="2"/>
  <c r="Q78" i="2"/>
  <c r="Q79" i="2"/>
  <c r="Q82" i="2"/>
  <c r="Q83" i="2"/>
  <c r="Q86" i="2"/>
  <c r="Q89" i="2"/>
  <c r="Q91" i="2"/>
  <c r="Q92" i="2"/>
  <c r="Q95" i="2"/>
  <c r="Q96" i="2"/>
  <c r="Q98" i="2"/>
  <c r="Q100" i="2"/>
  <c r="Q110" i="2"/>
  <c r="Q111" i="2"/>
  <c r="Q112" i="2"/>
  <c r="J13" i="2"/>
  <c r="J15" i="2"/>
  <c r="J18" i="2"/>
  <c r="J20" i="2"/>
  <c r="J21" i="2"/>
  <c r="J27" i="2"/>
  <c r="J32" i="2"/>
  <c r="J35" i="2"/>
  <c r="J37" i="2"/>
  <c r="J38" i="2"/>
  <c r="J39" i="2"/>
  <c r="J40" i="2"/>
  <c r="J42" i="2"/>
  <c r="J45" i="2"/>
  <c r="J46" i="2"/>
  <c r="J60" i="2"/>
  <c r="J65" i="2"/>
  <c r="J66" i="2"/>
  <c r="J67" i="2"/>
  <c r="J71" i="2"/>
  <c r="J72" i="2"/>
  <c r="J74" i="2"/>
  <c r="J75" i="2"/>
  <c r="J78" i="2"/>
  <c r="J79" i="2"/>
  <c r="J82" i="2"/>
  <c r="J83" i="2"/>
  <c r="J86" i="2"/>
  <c r="J87" i="2"/>
  <c r="J89" i="2"/>
  <c r="J90" i="2"/>
  <c r="J91" i="2"/>
  <c r="J92" i="2"/>
  <c r="J95" i="2"/>
  <c r="J96" i="2"/>
  <c r="J98" i="2"/>
  <c r="J100" i="2"/>
  <c r="J108" i="2"/>
  <c r="J110" i="2"/>
  <c r="J111" i="2"/>
  <c r="J112" i="2"/>
  <c r="J118" i="2"/>
  <c r="J3" i="2"/>
  <c r="I118" i="2"/>
  <c r="I112" i="2"/>
  <c r="I111" i="2"/>
  <c r="I110" i="2"/>
  <c r="I108" i="2"/>
  <c r="I100" i="2"/>
  <c r="I98" i="2"/>
  <c r="I96" i="2"/>
  <c r="I95" i="2"/>
  <c r="I92" i="2"/>
  <c r="I91" i="2"/>
  <c r="I90" i="2"/>
  <c r="I89" i="2"/>
  <c r="I87" i="2"/>
  <c r="I86" i="2"/>
  <c r="I83" i="2"/>
  <c r="I82" i="2"/>
  <c r="I79" i="2"/>
  <c r="I78" i="2"/>
  <c r="I75" i="2"/>
  <c r="I74" i="2"/>
  <c r="I72" i="2"/>
  <c r="I71" i="2"/>
  <c r="I67" i="2"/>
  <c r="I66" i="2"/>
  <c r="I65" i="2"/>
  <c r="I60" i="2"/>
  <c r="I46" i="2"/>
  <c r="I45" i="2"/>
  <c r="I42" i="2"/>
  <c r="I40" i="2"/>
  <c r="I39" i="2"/>
  <c r="I38" i="2"/>
  <c r="I37" i="2"/>
  <c r="I35" i="2"/>
  <c r="I32" i="2"/>
  <c r="I27" i="2"/>
  <c r="I21" i="2"/>
  <c r="I20" i="2"/>
  <c r="I18" i="2"/>
  <c r="I15" i="2"/>
  <c r="I13" i="2"/>
  <c r="I3" i="2"/>
  <c r="D15" i="4"/>
  <c r="P13" i="2"/>
  <c r="P15" i="2"/>
  <c r="P18" i="2"/>
  <c r="P20" i="2"/>
  <c r="P24" i="2"/>
  <c r="P30" i="2"/>
  <c r="P35" i="2"/>
  <c r="P37" i="2"/>
  <c r="P38" i="2"/>
  <c r="P39" i="2"/>
  <c r="P43" i="2"/>
  <c r="P45" i="2"/>
  <c r="P46" i="2"/>
  <c r="P65" i="2"/>
  <c r="P67" i="2"/>
  <c r="P72" i="2"/>
  <c r="P74" i="2"/>
  <c r="P75" i="2"/>
  <c r="P78" i="2"/>
  <c r="P79" i="2"/>
  <c r="P82" i="2"/>
  <c r="P83" i="2"/>
  <c r="P86" i="2"/>
  <c r="P89" i="2"/>
  <c r="P91" i="2"/>
  <c r="P92" i="2"/>
  <c r="P95" i="2"/>
  <c r="P96" i="2"/>
  <c r="P98" i="2"/>
  <c r="P100" i="2"/>
  <c r="P110" i="2"/>
  <c r="P111" i="2"/>
  <c r="P112" i="2"/>
  <c r="P118" i="2"/>
  <c r="C7" i="4"/>
  <c r="N117" i="2"/>
  <c r="M58" i="4" s="1"/>
  <c r="N115" i="2"/>
  <c r="N114" i="2"/>
  <c r="N113" i="2"/>
  <c r="P113" i="2" s="1"/>
  <c r="N109" i="2"/>
  <c r="Q109" i="2" s="1"/>
  <c r="N108" i="2"/>
  <c r="P108" i="2" s="1"/>
  <c r="N107" i="2"/>
  <c r="P107" i="2" s="1"/>
  <c r="N106" i="2"/>
  <c r="Q106" i="2" s="1"/>
  <c r="N105" i="2"/>
  <c r="Q105" i="2" s="1"/>
  <c r="N104" i="2"/>
  <c r="P104" i="2" s="1"/>
  <c r="N103" i="2"/>
  <c r="P103" i="2" s="1"/>
  <c r="N102" i="2"/>
  <c r="P102" i="2" s="1"/>
  <c r="N101" i="2"/>
  <c r="N99" i="2"/>
  <c r="M48" i="4" s="1"/>
  <c r="N97" i="2"/>
  <c r="P97" i="2" s="1"/>
  <c r="N94" i="2"/>
  <c r="Q94" i="2" s="1"/>
  <c r="N93" i="2"/>
  <c r="Q93" i="2" s="1"/>
  <c r="N90" i="2"/>
  <c r="Q90" i="2" s="1"/>
  <c r="N88" i="2"/>
  <c r="N87" i="2"/>
  <c r="Q87" i="2" s="1"/>
  <c r="N85" i="2"/>
  <c r="Q85" i="2" s="1"/>
  <c r="N84" i="2"/>
  <c r="M35" i="4" s="1"/>
  <c r="N81" i="2"/>
  <c r="N80" i="2"/>
  <c r="P80" i="2" s="1"/>
  <c r="N77" i="2"/>
  <c r="Q77" i="2" s="1"/>
  <c r="N76" i="2"/>
  <c r="Q76" i="2" s="1"/>
  <c r="N73" i="2"/>
  <c r="N71" i="2"/>
  <c r="Q71" i="2" s="1"/>
  <c r="N70" i="2"/>
  <c r="Q70" i="2" s="1"/>
  <c r="N69" i="2"/>
  <c r="N68" i="2"/>
  <c r="N66" i="2"/>
  <c r="Q66" i="2" s="1"/>
  <c r="N64" i="2"/>
  <c r="Q64" i="2" s="1"/>
  <c r="N63" i="2"/>
  <c r="N62" i="2"/>
  <c r="N61" i="2"/>
  <c r="Q61" i="2" s="1"/>
  <c r="N60" i="2"/>
  <c r="Q60" i="2" s="1"/>
  <c r="N59" i="2"/>
  <c r="M21" i="4" s="1"/>
  <c r="N58" i="2"/>
  <c r="N57" i="2"/>
  <c r="P57" i="2" s="1"/>
  <c r="Q56" i="2"/>
  <c r="Q55" i="2"/>
  <c r="N54" i="2"/>
  <c r="N53" i="2"/>
  <c r="Q53" i="2" s="1"/>
  <c r="N52" i="2"/>
  <c r="P52" i="2" s="1"/>
  <c r="P51" i="2"/>
  <c r="N49" i="2"/>
  <c r="P49" i="2" s="1"/>
  <c r="Q48" i="2"/>
  <c r="N47" i="2"/>
  <c r="Q47" i="2" s="1"/>
  <c r="N44" i="2"/>
  <c r="N42" i="2"/>
  <c r="P42" i="2" s="1"/>
  <c r="N41" i="2"/>
  <c r="Q41" i="2" s="1"/>
  <c r="N40" i="2"/>
  <c r="P40" i="2" s="1"/>
  <c r="N36" i="2"/>
  <c r="N34" i="2"/>
  <c r="Q34" i="2" s="1"/>
  <c r="Q33" i="2"/>
  <c r="N32" i="2"/>
  <c r="Q32" i="2" s="1"/>
  <c r="N29" i="2"/>
  <c r="Q29" i="2" s="1"/>
  <c r="N28" i="2"/>
  <c r="N27" i="2"/>
  <c r="P27" i="2" s="1"/>
  <c r="N26" i="2"/>
  <c r="N25" i="2"/>
  <c r="Q25" i="2" s="1"/>
  <c r="N23" i="2"/>
  <c r="P23" i="2" s="1"/>
  <c r="N22" i="2"/>
  <c r="Q22" i="2" s="1"/>
  <c r="N21" i="2"/>
  <c r="N19" i="2"/>
  <c r="P19" i="2" s="1"/>
  <c r="N17" i="2"/>
  <c r="Q17" i="2" s="1"/>
  <c r="P16" i="2"/>
  <c r="N14" i="2"/>
  <c r="N12" i="2"/>
  <c r="P12" i="2" s="1"/>
  <c r="N11" i="2"/>
  <c r="P11" i="2" s="1"/>
  <c r="N10" i="2"/>
  <c r="Q10" i="2" s="1"/>
  <c r="N9" i="2"/>
  <c r="Q8" i="2"/>
  <c r="P7" i="2"/>
  <c r="Q6" i="2"/>
  <c r="P4" i="2"/>
  <c r="G117" i="2"/>
  <c r="G115" i="2"/>
  <c r="J115" i="2" s="1"/>
  <c r="G114" i="2"/>
  <c r="G113" i="2"/>
  <c r="G109" i="2"/>
  <c r="J109" i="2" s="1"/>
  <c r="G107" i="2"/>
  <c r="J107" i="2" s="1"/>
  <c r="G106" i="2"/>
  <c r="G105" i="2"/>
  <c r="J105" i="2" s="1"/>
  <c r="G104" i="2"/>
  <c r="G103" i="2"/>
  <c r="J103" i="2" s="1"/>
  <c r="G102" i="2"/>
  <c r="G101" i="2"/>
  <c r="C54" i="4" s="1"/>
  <c r="G99" i="2"/>
  <c r="C48" i="4" s="1"/>
  <c r="G97" i="2"/>
  <c r="C47" i="4" s="1"/>
  <c r="G94" i="2"/>
  <c r="G93" i="2"/>
  <c r="J93" i="2" s="1"/>
  <c r="G88" i="2"/>
  <c r="G85" i="2"/>
  <c r="C36" i="4" s="1"/>
  <c r="G84" i="2"/>
  <c r="G81" i="2"/>
  <c r="J81" i="2" s="1"/>
  <c r="G80" i="2"/>
  <c r="G77" i="2"/>
  <c r="G76" i="2"/>
  <c r="G73" i="2"/>
  <c r="I73" i="2" s="1"/>
  <c r="G70" i="2"/>
  <c r="G69" i="2"/>
  <c r="G68" i="2"/>
  <c r="G64" i="2"/>
  <c r="G63" i="2"/>
  <c r="G62" i="2"/>
  <c r="G61" i="2"/>
  <c r="G59" i="2"/>
  <c r="C21" i="4" s="1"/>
  <c r="G58" i="2"/>
  <c r="G57" i="2"/>
  <c r="G56" i="2"/>
  <c r="G55" i="2"/>
  <c r="J55" i="2" s="1"/>
  <c r="G54" i="2"/>
  <c r="G53" i="2"/>
  <c r="G52" i="2"/>
  <c r="G51" i="2"/>
  <c r="J51" i="2" s="1"/>
  <c r="G50" i="2"/>
  <c r="G49" i="2"/>
  <c r="G48" i="2"/>
  <c r="G47" i="2"/>
  <c r="J47" i="2" s="1"/>
  <c r="G44" i="2"/>
  <c r="G43" i="2"/>
  <c r="G41" i="2"/>
  <c r="G36" i="2"/>
  <c r="G34" i="2"/>
  <c r="G33" i="2"/>
  <c r="G31" i="2"/>
  <c r="G30" i="2"/>
  <c r="I30" i="2" s="1"/>
  <c r="G29" i="2"/>
  <c r="G28" i="2"/>
  <c r="G26" i="2"/>
  <c r="G25" i="2"/>
  <c r="I25" i="2" s="1"/>
  <c r="G24" i="2"/>
  <c r="G23" i="2"/>
  <c r="G22" i="2"/>
  <c r="G19" i="2"/>
  <c r="J19" i="2" s="1"/>
  <c r="G17" i="2"/>
  <c r="G16" i="2"/>
  <c r="G14" i="2"/>
  <c r="G12" i="2"/>
  <c r="J12" i="2" s="1"/>
  <c r="G11" i="2"/>
  <c r="G10" i="2"/>
  <c r="G9" i="2"/>
  <c r="G8" i="2"/>
  <c r="J8" i="2" s="1"/>
  <c r="G7" i="2"/>
  <c r="G6" i="2"/>
  <c r="G5" i="2"/>
  <c r="G4" i="2"/>
  <c r="I4" i="2" s="1"/>
  <c r="AD52" i="1"/>
  <c r="AE52" i="1" s="1"/>
  <c r="AE40" i="1"/>
  <c r="M121" i="1"/>
  <c r="M120" i="1"/>
  <c r="M118" i="1"/>
  <c r="M117" i="1"/>
  <c r="M116" i="1"/>
  <c r="M115" i="1"/>
  <c r="M114" i="1"/>
  <c r="M113" i="1"/>
  <c r="M112" i="1"/>
  <c r="M111" i="1"/>
  <c r="M110" i="1"/>
  <c r="M109" i="1"/>
  <c r="M108" i="1"/>
  <c r="M107" i="1"/>
  <c r="M106" i="1"/>
  <c r="M105" i="1"/>
  <c r="M104" i="1"/>
  <c r="M103" i="1"/>
  <c r="M102" i="1"/>
  <c r="M101" i="1"/>
  <c r="M100" i="1"/>
  <c r="M99" i="1"/>
  <c r="M98" i="1"/>
  <c r="M97" i="1"/>
  <c r="M96" i="1"/>
  <c r="M95" i="1"/>
  <c r="M94" i="1"/>
  <c r="M93" i="1"/>
  <c r="M92" i="1"/>
  <c r="M91" i="1"/>
  <c r="M90" i="1"/>
  <c r="M89" i="1"/>
  <c r="M88" i="1"/>
  <c r="M87" i="1"/>
  <c r="M86" i="1"/>
  <c r="M85" i="1"/>
  <c r="M84" i="1"/>
  <c r="M83" i="1"/>
  <c r="M82" i="1"/>
  <c r="M81" i="1"/>
  <c r="M80" i="1"/>
  <c r="M79" i="1"/>
  <c r="M78" i="1"/>
  <c r="M77" i="1"/>
  <c r="M76" i="1"/>
  <c r="M75" i="1"/>
  <c r="M74" i="1"/>
  <c r="M73" i="1"/>
  <c r="M72" i="1"/>
  <c r="M71" i="1"/>
  <c r="M70" i="1"/>
  <c r="M69" i="1"/>
  <c r="M68"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 r="M10" i="1"/>
  <c r="M9" i="1"/>
  <c r="M8" i="1"/>
  <c r="M7" i="1"/>
  <c r="M6" i="1"/>
  <c r="M5" i="1"/>
  <c r="M4" i="1"/>
  <c r="K4" i="1"/>
  <c r="K5" i="1"/>
  <c r="K6" i="1"/>
  <c r="K7" i="1"/>
  <c r="K8" i="1"/>
  <c r="K9"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8" i="1"/>
  <c r="K109" i="1"/>
  <c r="K110" i="1"/>
  <c r="K112" i="1"/>
  <c r="K113" i="1"/>
  <c r="K114" i="1"/>
  <c r="K115" i="1"/>
  <c r="K116" i="1"/>
  <c r="K117" i="1"/>
  <c r="K118" i="1"/>
  <c r="K120"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5" i="1"/>
  <c r="G106" i="1"/>
  <c r="G107" i="1"/>
  <c r="G108" i="1"/>
  <c r="G109" i="1"/>
  <c r="G110" i="1"/>
  <c r="G111" i="1"/>
  <c r="G112" i="1"/>
  <c r="G113" i="1"/>
  <c r="G114" i="1"/>
  <c r="G115" i="1"/>
  <c r="G116" i="1"/>
  <c r="G117" i="1"/>
  <c r="G118" i="1"/>
  <c r="G120" i="1"/>
  <c r="G121" i="1"/>
  <c r="I120" i="1"/>
  <c r="I118" i="1"/>
  <c r="I117" i="1"/>
  <c r="I116" i="1"/>
  <c r="I115" i="1"/>
  <c r="I114" i="1"/>
  <c r="I113" i="1"/>
  <c r="I112" i="1"/>
  <c r="I111" i="1"/>
  <c r="I110" i="1"/>
  <c r="I109" i="1"/>
  <c r="I108" i="1"/>
  <c r="I107" i="1"/>
  <c r="I106" i="1"/>
  <c r="I105"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 r="I5" i="1"/>
  <c r="I4" i="1"/>
  <c r="M8" i="4" l="1"/>
  <c r="Q80" i="2"/>
  <c r="P66" i="2"/>
  <c r="M23" i="4"/>
  <c r="P94" i="2"/>
  <c r="P87" i="2"/>
  <c r="Q12" i="2"/>
  <c r="P115" i="2"/>
  <c r="P99" i="2"/>
  <c r="Q104" i="2"/>
  <c r="P106" i="2"/>
  <c r="P71" i="2"/>
  <c r="P34" i="2"/>
  <c r="Q4" i="2"/>
  <c r="M42" i="4"/>
  <c r="J10" i="2"/>
  <c r="I10" i="2"/>
  <c r="I6" i="2"/>
  <c r="J6" i="2"/>
  <c r="J16" i="2"/>
  <c r="I16" i="2"/>
  <c r="J23" i="2"/>
  <c r="I23" i="2"/>
  <c r="J28" i="2"/>
  <c r="C8" i="4"/>
  <c r="I28" i="2"/>
  <c r="J33" i="2"/>
  <c r="I33" i="2"/>
  <c r="C16" i="4"/>
  <c r="I43" i="2"/>
  <c r="J43" i="2"/>
  <c r="I49" i="2"/>
  <c r="C17" i="4"/>
  <c r="F17" i="4" s="1"/>
  <c r="J49" i="2"/>
  <c r="J53" i="2"/>
  <c r="I53" i="2"/>
  <c r="C20" i="4"/>
  <c r="J57" i="2"/>
  <c r="I57" i="2"/>
  <c r="J62" i="2"/>
  <c r="I62" i="2"/>
  <c r="C29" i="4"/>
  <c r="I69" i="2"/>
  <c r="J69" i="2"/>
  <c r="J77" i="2"/>
  <c r="I77" i="2"/>
  <c r="J7" i="2"/>
  <c r="I7" i="2"/>
  <c r="J11" i="2"/>
  <c r="I11" i="2"/>
  <c r="J17" i="2"/>
  <c r="I17" i="2"/>
  <c r="J24" i="2"/>
  <c r="I24" i="2"/>
  <c r="J29" i="2"/>
  <c r="I29" i="2"/>
  <c r="C15" i="4"/>
  <c r="E15" i="4" s="1"/>
  <c r="I34" i="2"/>
  <c r="J34" i="2"/>
  <c r="J44" i="2"/>
  <c r="I44" i="2"/>
  <c r="J50" i="2"/>
  <c r="I50" i="2"/>
  <c r="C18" i="4"/>
  <c r="I54" i="2"/>
  <c r="J54" i="2"/>
  <c r="J58" i="2"/>
  <c r="I58" i="2"/>
  <c r="C23" i="4"/>
  <c r="I63" i="2"/>
  <c r="J63" i="2"/>
  <c r="J70" i="2"/>
  <c r="I70" i="2"/>
  <c r="C32" i="4"/>
  <c r="J80" i="2"/>
  <c r="I80" i="2"/>
  <c r="C42" i="4"/>
  <c r="J88" i="2"/>
  <c r="I88" i="2"/>
  <c r="J5" i="2"/>
  <c r="I5" i="2"/>
  <c r="I9" i="2"/>
  <c r="J9" i="2"/>
  <c r="I14" i="2"/>
  <c r="C5" i="4"/>
  <c r="J14" i="2"/>
  <c r="J22" i="2"/>
  <c r="I22" i="2"/>
  <c r="I26" i="2"/>
  <c r="J26" i="2"/>
  <c r="C9" i="4"/>
  <c r="J31" i="2"/>
  <c r="I31" i="2"/>
  <c r="J41" i="2"/>
  <c r="I41" i="2"/>
  <c r="J48" i="2"/>
  <c r="I48" i="2"/>
  <c r="J52" i="2"/>
  <c r="I52" i="2"/>
  <c r="J56" i="2"/>
  <c r="I56" i="2"/>
  <c r="C22" i="4"/>
  <c r="J61" i="2"/>
  <c r="I61" i="2"/>
  <c r="J68" i="2"/>
  <c r="I68" i="2"/>
  <c r="J76" i="2"/>
  <c r="I76" i="2"/>
  <c r="J84" i="2"/>
  <c r="I84" i="2"/>
  <c r="C35" i="4"/>
  <c r="J94" i="2"/>
  <c r="I94" i="2"/>
  <c r="C55" i="4"/>
  <c r="J102" i="2"/>
  <c r="I102" i="2"/>
  <c r="I106" i="2"/>
  <c r="J106" i="2"/>
  <c r="I114" i="2"/>
  <c r="J114" i="2"/>
  <c r="Q5" i="2"/>
  <c r="P5" i="2"/>
  <c r="Q9" i="2"/>
  <c r="P9" i="2"/>
  <c r="M5" i="4"/>
  <c r="Q14" i="2"/>
  <c r="P14" i="2"/>
  <c r="Q21" i="2"/>
  <c r="P21" i="2"/>
  <c r="Q26" i="2"/>
  <c r="P26" i="2"/>
  <c r="M9" i="4"/>
  <c r="Q31" i="2"/>
  <c r="P31" i="2"/>
  <c r="P36" i="2"/>
  <c r="Q36" i="2"/>
  <c r="Q44" i="2"/>
  <c r="P44" i="2"/>
  <c r="Q50" i="2"/>
  <c r="P50" i="2"/>
  <c r="M18" i="4"/>
  <c r="Q54" i="2"/>
  <c r="P54" i="2"/>
  <c r="Q58" i="2"/>
  <c r="P58" i="2"/>
  <c r="Q62" i="2"/>
  <c r="P62" i="2"/>
  <c r="Q68" i="2"/>
  <c r="P68" i="2"/>
  <c r="M31" i="4"/>
  <c r="Q73" i="2"/>
  <c r="P73" i="2"/>
  <c r="Q81" i="2"/>
  <c r="P81" i="2"/>
  <c r="Q69" i="2"/>
  <c r="M29" i="4"/>
  <c r="C6" i="4"/>
  <c r="P114" i="2"/>
  <c r="P90" i="2"/>
  <c r="P70" i="2"/>
  <c r="P22" i="2"/>
  <c r="P10" i="2"/>
  <c r="P6" i="2"/>
  <c r="I19" i="2"/>
  <c r="I55" i="2"/>
  <c r="I85" i="2"/>
  <c r="I107" i="2"/>
  <c r="I115" i="2"/>
  <c r="J85" i="2"/>
  <c r="Q103" i="2"/>
  <c r="Q84" i="2"/>
  <c r="Q52" i="2"/>
  <c r="Q40" i="2"/>
  <c r="Q23" i="2"/>
  <c r="Q16" i="2"/>
  <c r="Q11" i="2"/>
  <c r="M3" i="4"/>
  <c r="P3" i="4" s="1"/>
  <c r="M36" i="4"/>
  <c r="J104" i="2"/>
  <c r="I104" i="2"/>
  <c r="C58" i="4"/>
  <c r="J117" i="2"/>
  <c r="I117" i="2"/>
  <c r="M22" i="4"/>
  <c r="Q101" i="2"/>
  <c r="M54" i="4"/>
  <c r="P109" i="2"/>
  <c r="P105" i="2"/>
  <c r="P101" i="2"/>
  <c r="P93" i="2"/>
  <c r="P85" i="2"/>
  <c r="P77" i="2"/>
  <c r="P69" i="2"/>
  <c r="P61" i="2"/>
  <c r="P53" i="2"/>
  <c r="P41" i="2"/>
  <c r="P33" i="2"/>
  <c r="P29" i="2"/>
  <c r="P25" i="2"/>
  <c r="P17" i="2"/>
  <c r="I8" i="2"/>
  <c r="I12" i="2"/>
  <c r="I51" i="2"/>
  <c r="I81" i="2"/>
  <c r="I99" i="2"/>
  <c r="I103" i="2"/>
  <c r="J101" i="2"/>
  <c r="J97" i="2"/>
  <c r="J73" i="2"/>
  <c r="J59" i="2"/>
  <c r="J30" i="2"/>
  <c r="J25" i="2"/>
  <c r="Q108" i="2"/>
  <c r="Q88" i="2"/>
  <c r="Q59" i="2"/>
  <c r="Q51" i="2"/>
  <c r="Q28" i="2"/>
  <c r="M7" i="4"/>
  <c r="M15" i="4"/>
  <c r="M32" i="4"/>
  <c r="C3" i="4"/>
  <c r="F3" i="4" s="1"/>
  <c r="J4" i="2"/>
  <c r="J36" i="2"/>
  <c r="I36" i="2"/>
  <c r="C19" i="4"/>
  <c r="J64" i="2"/>
  <c r="I64" i="2"/>
  <c r="C45" i="4"/>
  <c r="C56" i="4"/>
  <c r="M4" i="4"/>
  <c r="M6" i="4"/>
  <c r="M16" i="4"/>
  <c r="Q42" i="2"/>
  <c r="M17" i="4"/>
  <c r="Q49" i="2"/>
  <c r="Q57" i="2"/>
  <c r="M55" i="4"/>
  <c r="Q102" i="2"/>
  <c r="M56" i="4"/>
  <c r="C4" i="4"/>
  <c r="P117" i="2"/>
  <c r="P88" i="2"/>
  <c r="P84" i="2"/>
  <c r="P76" i="2"/>
  <c r="P64" i="2"/>
  <c r="P60" i="2"/>
  <c r="P56" i="2"/>
  <c r="P48" i="2"/>
  <c r="P32" i="2"/>
  <c r="P28" i="2"/>
  <c r="P8" i="2"/>
  <c r="I47" i="2"/>
  <c r="I105" i="2"/>
  <c r="I109" i="2"/>
  <c r="I113" i="2"/>
  <c r="J113" i="2"/>
  <c r="Q107" i="2"/>
  <c r="Q99" i="2"/>
  <c r="Q27" i="2"/>
  <c r="Q19" i="2"/>
  <c r="Q7" i="2"/>
  <c r="C31" i="4"/>
  <c r="M19" i="4"/>
  <c r="M47" i="4"/>
  <c r="Q97" i="2"/>
  <c r="P63" i="2"/>
  <c r="P59" i="2"/>
  <c r="P55" i="2"/>
  <c r="P47" i="2"/>
  <c r="I59" i="2"/>
  <c r="I93" i="2"/>
  <c r="I97" i="2"/>
  <c r="I101" i="2"/>
  <c r="J99" i="2"/>
  <c r="Q63" i="2"/>
  <c r="M45" i="4"/>
  <c r="E3" i="1"/>
  <c r="M3" i="1" l="1"/>
  <c r="I3" i="1"/>
  <c r="K3" i="1"/>
  <c r="G3" i="1"/>
  <c r="Q44" i="4"/>
  <c r="Q36" i="4"/>
  <c r="Q35" i="4"/>
  <c r="Q34" i="4"/>
  <c r="Q30" i="4"/>
  <c r="H120" i="2" l="1"/>
  <c r="E120" i="2"/>
  <c r="L120" i="2"/>
  <c r="O120" i="2"/>
  <c r="I90" i="4"/>
  <c r="I89" i="4"/>
  <c r="I88" i="4"/>
  <c r="I87" i="4"/>
  <c r="I86" i="4"/>
  <c r="J120" i="2" l="1"/>
  <c r="Q120" i="2"/>
  <c r="B91" i="4"/>
  <c r="B82" i="4"/>
  <c r="B73" i="4"/>
  <c r="Q48" i="4" l="1"/>
  <c r="R48" i="4" s="1"/>
  <c r="Q43" i="4"/>
  <c r="R44" i="4"/>
  <c r="R34" i="4"/>
  <c r="Q33" i="4"/>
  <c r="R33" i="4" s="1"/>
  <c r="R35" i="4"/>
  <c r="R32" i="4"/>
  <c r="R29" i="4"/>
  <c r="Q21" i="4"/>
  <c r="R36" i="4"/>
  <c r="R30" i="4"/>
  <c r="L61" i="4"/>
  <c r="L49" i="4"/>
  <c r="L10" i="4"/>
  <c r="B61" i="4"/>
  <c r="H35" i="4"/>
  <c r="Q100" i="1"/>
  <c r="R100" i="1" s="1"/>
  <c r="Q101" i="1"/>
  <c r="R101" i="1" s="1"/>
  <c r="Q102" i="1"/>
  <c r="R102" i="1" s="1"/>
  <c r="Q103" i="1"/>
  <c r="R103" i="1" s="1"/>
  <c r="Q105" i="1"/>
  <c r="R105" i="1" s="1"/>
  <c r="Q106" i="1"/>
  <c r="Q107" i="1"/>
  <c r="R107" i="1" s="1"/>
  <c r="Q108" i="1"/>
  <c r="Q109" i="1"/>
  <c r="R109" i="1" s="1"/>
  <c r="Q110" i="1"/>
  <c r="R110" i="1" s="1"/>
  <c r="Q111" i="1"/>
  <c r="Q112" i="1"/>
  <c r="R112" i="1" s="1"/>
  <c r="Q113" i="1"/>
  <c r="Q114" i="1"/>
  <c r="Q115" i="1"/>
  <c r="W115" i="1" s="1"/>
  <c r="Q116" i="1"/>
  <c r="R116" i="1" s="1"/>
  <c r="Q117" i="1"/>
  <c r="R117" i="1" s="1"/>
  <c r="Q96" i="1"/>
  <c r="R96" i="1" s="1"/>
  <c r="Q97" i="1"/>
  <c r="R97" i="1" s="1"/>
  <c r="G44" i="4"/>
  <c r="H44" i="4" s="1"/>
  <c r="G43" i="4"/>
  <c r="H43" i="4" s="1"/>
  <c r="B49" i="4"/>
  <c r="G36" i="4"/>
  <c r="H36" i="4" s="1"/>
  <c r="G34" i="4"/>
  <c r="H34" i="4" s="1"/>
  <c r="G33" i="4"/>
  <c r="H33" i="4" s="1"/>
  <c r="G30" i="4"/>
  <c r="H30" i="4" s="1"/>
  <c r="B37" i="4"/>
  <c r="B24" i="4"/>
  <c r="R113" i="1" l="1"/>
  <c r="W113" i="1"/>
  <c r="R43" i="4"/>
  <c r="R21" i="4"/>
  <c r="H32" i="4"/>
  <c r="B10" i="4" l="1"/>
  <c r="G20" i="4" l="1"/>
  <c r="H20" i="4" s="1"/>
  <c r="C3" i="6" l="1"/>
  <c r="Q3" i="1"/>
  <c r="W3" i="1" s="1"/>
  <c r="X3" i="1" s="1"/>
  <c r="N42" i="4" l="1"/>
  <c r="N45" i="4"/>
  <c r="N43" i="4"/>
  <c r="N44" i="4"/>
  <c r="W43" i="1"/>
  <c r="W96" i="1"/>
  <c r="X96" i="1" s="1"/>
  <c r="W97" i="1"/>
  <c r="X97" i="1" s="1"/>
  <c r="W100" i="1"/>
  <c r="X100" i="1" s="1"/>
  <c r="Q47" i="4" s="1"/>
  <c r="R47" i="4" s="1"/>
  <c r="W101" i="1"/>
  <c r="W102" i="1"/>
  <c r="W103" i="1"/>
  <c r="W105" i="1"/>
  <c r="X105" i="1" s="1"/>
  <c r="W106" i="1"/>
  <c r="X106" i="1" s="1"/>
  <c r="W107" i="1"/>
  <c r="X107" i="1" s="1"/>
  <c r="W108" i="1"/>
  <c r="W109" i="1"/>
  <c r="X109" i="1" s="1"/>
  <c r="W110" i="1"/>
  <c r="X110" i="1" s="1"/>
  <c r="W111" i="1"/>
  <c r="X111" i="1" s="1"/>
  <c r="W112" i="1"/>
  <c r="X112" i="1" s="1"/>
  <c r="W114" i="1"/>
  <c r="W116" i="1"/>
  <c r="X116" i="1" s="1"/>
  <c r="W117" i="1"/>
  <c r="X117" i="1" s="1"/>
  <c r="N47" i="4"/>
  <c r="Q45" i="4" l="1"/>
  <c r="R45" i="4" s="1"/>
  <c r="R55" i="4"/>
  <c r="R54" i="4"/>
  <c r="R56" i="4"/>
  <c r="N55" i="4"/>
  <c r="P55" i="4" s="1"/>
  <c r="F83" i="6"/>
  <c r="AK83" i="6" s="1"/>
  <c r="F84" i="6"/>
  <c r="AK84" i="6" s="1"/>
  <c r="F85" i="6"/>
  <c r="AK85" i="6" s="1"/>
  <c r="E86" i="6"/>
  <c r="AB86" i="6" s="1"/>
  <c r="F86" i="6"/>
  <c r="AK86" i="6" s="1"/>
  <c r="E87" i="6"/>
  <c r="AB87" i="6" s="1"/>
  <c r="F87" i="6"/>
  <c r="AK87" i="6" s="1"/>
  <c r="E88" i="6"/>
  <c r="AB88" i="6" s="1"/>
  <c r="F88" i="6"/>
  <c r="AK88" i="6" s="1"/>
  <c r="F89" i="6"/>
  <c r="AK89" i="6" s="1"/>
  <c r="F90" i="6"/>
  <c r="AK90" i="6" s="1"/>
  <c r="F91" i="6"/>
  <c r="AK91" i="6" s="1"/>
  <c r="F92" i="6"/>
  <c r="AK92" i="6" s="1"/>
  <c r="F93" i="6"/>
  <c r="F94" i="6"/>
  <c r="F95" i="6"/>
  <c r="F96" i="6"/>
  <c r="D91" i="6"/>
  <c r="S91" i="6" s="1"/>
  <c r="D92" i="6"/>
  <c r="S92" i="6" s="1"/>
  <c r="C94" i="6"/>
  <c r="J94" i="6" s="1"/>
  <c r="C89" i="6"/>
  <c r="J89" i="6" s="1"/>
  <c r="C90" i="6"/>
  <c r="J90" i="6" s="1"/>
  <c r="C88" i="6"/>
  <c r="J88" i="6" s="1"/>
  <c r="C87" i="6"/>
  <c r="J87" i="6" s="1"/>
  <c r="C85" i="6"/>
  <c r="J85" i="6" s="1"/>
  <c r="C86" i="6"/>
  <c r="J86" i="6" s="1"/>
  <c r="A88" i="6"/>
  <c r="B88" i="6"/>
  <c r="B87" i="6"/>
  <c r="B86" i="6"/>
  <c r="A87" i="6"/>
  <c r="A83" i="6"/>
  <c r="A80" i="6"/>
  <c r="A81" i="6"/>
  <c r="A82" i="6"/>
  <c r="A84" i="6"/>
  <c r="A86" i="6"/>
  <c r="R61" i="2"/>
  <c r="R62" i="2"/>
  <c r="R47" i="2"/>
  <c r="R48" i="2"/>
  <c r="R49" i="2"/>
  <c r="R50" i="2"/>
  <c r="R51" i="2"/>
  <c r="R52" i="2"/>
  <c r="R53" i="2"/>
  <c r="R54" i="2"/>
  <c r="R55" i="2"/>
  <c r="R56" i="2"/>
  <c r="R57" i="2"/>
  <c r="R58" i="2"/>
  <c r="R59" i="2"/>
  <c r="R60" i="2"/>
  <c r="R18" i="2"/>
  <c r="R19" i="2"/>
  <c r="R20" i="2"/>
  <c r="R21" i="2"/>
  <c r="R22" i="2"/>
  <c r="R23" i="2"/>
  <c r="R24" i="2"/>
  <c r="R25" i="2"/>
  <c r="R26" i="2"/>
  <c r="R27" i="2"/>
  <c r="R28" i="2"/>
  <c r="R29" i="2"/>
  <c r="R30" i="2"/>
  <c r="R31" i="2"/>
  <c r="R6" i="2"/>
  <c r="R7" i="2"/>
  <c r="R8" i="2"/>
  <c r="R9" i="2"/>
  <c r="R10" i="2"/>
  <c r="R11" i="2"/>
  <c r="R12" i="2"/>
  <c r="R13" i="2"/>
  <c r="R14" i="2"/>
  <c r="R15" i="2"/>
  <c r="R16" i="2"/>
  <c r="R17" i="2"/>
  <c r="R66" i="2"/>
  <c r="R67" i="2"/>
  <c r="R68" i="2"/>
  <c r="R69" i="2"/>
  <c r="R70" i="2"/>
  <c r="R71" i="2"/>
  <c r="R81" i="2"/>
  <c r="R82" i="2"/>
  <c r="R83" i="2"/>
  <c r="R84" i="2"/>
  <c r="R85" i="2"/>
  <c r="R94" i="2"/>
  <c r="R95" i="2"/>
  <c r="R96" i="2"/>
  <c r="R97" i="2"/>
  <c r="S55" i="4" l="1"/>
  <c r="R34" i="2"/>
  <c r="AB34" i="2"/>
  <c r="AC34" i="2" s="1"/>
  <c r="AD34" i="2" s="1"/>
  <c r="AH34" i="2"/>
  <c r="AI34" i="2"/>
  <c r="AK34" i="2"/>
  <c r="R35" i="2"/>
  <c r="AB35" i="2"/>
  <c r="AC35" i="2" s="1"/>
  <c r="AD35" i="2" s="1"/>
  <c r="AH35" i="2"/>
  <c r="AI35" i="2"/>
  <c r="AK35" i="2"/>
  <c r="R36" i="2"/>
  <c r="AB36" i="2"/>
  <c r="AC36" i="2" s="1"/>
  <c r="AD36" i="2" s="1"/>
  <c r="AH36" i="2"/>
  <c r="AI36" i="2"/>
  <c r="AK36" i="2"/>
  <c r="R37" i="2"/>
  <c r="AB37" i="2"/>
  <c r="AC37" i="2" s="1"/>
  <c r="AD37" i="2" s="1"/>
  <c r="AH37" i="2"/>
  <c r="AI37" i="2"/>
  <c r="AK37" i="2"/>
  <c r="R38" i="2"/>
  <c r="AB38" i="2"/>
  <c r="AC38" i="2" s="1"/>
  <c r="AD38" i="2" s="1"/>
  <c r="AH38" i="2"/>
  <c r="AI38" i="2"/>
  <c r="AK38" i="2"/>
  <c r="R39" i="2"/>
  <c r="AB39" i="2"/>
  <c r="AC39" i="2" s="1"/>
  <c r="AD39" i="2" s="1"/>
  <c r="AH39" i="2"/>
  <c r="AI39" i="2"/>
  <c r="AK39" i="2"/>
  <c r="R40" i="2"/>
  <c r="AB40" i="2"/>
  <c r="AC40" i="2" s="1"/>
  <c r="AD40" i="2" s="1"/>
  <c r="AH40" i="2"/>
  <c r="AI40" i="2"/>
  <c r="AK40" i="2"/>
  <c r="R41" i="2"/>
  <c r="AB41" i="2"/>
  <c r="AC41" i="2" s="1"/>
  <c r="AD41" i="2" s="1"/>
  <c r="AH41" i="2"/>
  <c r="AI41" i="2"/>
  <c r="AK41" i="2"/>
  <c r="R42" i="2"/>
  <c r="AB42" i="2"/>
  <c r="AC42" i="2" s="1"/>
  <c r="AD42" i="2" s="1"/>
  <c r="AH42" i="2"/>
  <c r="AI42" i="2"/>
  <c r="AK42" i="2"/>
  <c r="R43" i="2"/>
  <c r="AB43" i="2"/>
  <c r="AC43" i="2" s="1"/>
  <c r="AD43" i="2" s="1"/>
  <c r="AH43" i="2"/>
  <c r="AI43" i="2"/>
  <c r="AK43" i="2"/>
  <c r="R44" i="2"/>
  <c r="AB44" i="2"/>
  <c r="AC44" i="2" s="1"/>
  <c r="AD44" i="2" s="1"/>
  <c r="AH44" i="2"/>
  <c r="AI44" i="2"/>
  <c r="AK44" i="2"/>
  <c r="R45" i="2"/>
  <c r="AB45" i="2"/>
  <c r="AC45" i="2"/>
  <c r="AD45" i="2" s="1"/>
  <c r="AH45" i="2"/>
  <c r="AI45" i="2"/>
  <c r="AK45" i="2"/>
  <c r="R46" i="2"/>
  <c r="AB46" i="2"/>
  <c r="AC46" i="2" s="1"/>
  <c r="AD46" i="2" s="1"/>
  <c r="AH46" i="2"/>
  <c r="AI46" i="2"/>
  <c r="AK46" i="2"/>
  <c r="AB47" i="2"/>
  <c r="AC47" i="2" s="1"/>
  <c r="AD47" i="2" s="1"/>
  <c r="AH47" i="2"/>
  <c r="AI47" i="2"/>
  <c r="AK47" i="2"/>
  <c r="AB48" i="2"/>
  <c r="AC48" i="2" s="1"/>
  <c r="AD48" i="2" s="1"/>
  <c r="AH48" i="2"/>
  <c r="AI48" i="2"/>
  <c r="AK48" i="2"/>
  <c r="AB49" i="2"/>
  <c r="AC49" i="2" s="1"/>
  <c r="AD49" i="2" s="1"/>
  <c r="AH49" i="2"/>
  <c r="AI49" i="2"/>
  <c r="AK49" i="2"/>
  <c r="AB50" i="2"/>
  <c r="AC50" i="2" s="1"/>
  <c r="AD50" i="2" s="1"/>
  <c r="AH50" i="2"/>
  <c r="AI50" i="2"/>
  <c r="AK50" i="2"/>
  <c r="AB51" i="2"/>
  <c r="AC51" i="2" s="1"/>
  <c r="AD51" i="2" s="1"/>
  <c r="AH51" i="2"/>
  <c r="AI51" i="2"/>
  <c r="AK51" i="2"/>
  <c r="AB52" i="2"/>
  <c r="AC52" i="2" s="1"/>
  <c r="AD52" i="2" s="1"/>
  <c r="AH52" i="2"/>
  <c r="AI52" i="2"/>
  <c r="AK52" i="2"/>
  <c r="AB53" i="2"/>
  <c r="AC53" i="2" s="1"/>
  <c r="AD53" i="2" s="1"/>
  <c r="AH53" i="2"/>
  <c r="AI53" i="2"/>
  <c r="AK53" i="2"/>
  <c r="AB54" i="2"/>
  <c r="AC54" i="2" s="1"/>
  <c r="AD54" i="2" s="1"/>
  <c r="AH54" i="2"/>
  <c r="AI54" i="2"/>
  <c r="AK54" i="2"/>
  <c r="AB55" i="2"/>
  <c r="AC55" i="2" s="1"/>
  <c r="AD55" i="2" s="1"/>
  <c r="AH55" i="2"/>
  <c r="AI55" i="2"/>
  <c r="AK55" i="2"/>
  <c r="AB56" i="2"/>
  <c r="AC56" i="2" s="1"/>
  <c r="AD56" i="2" s="1"/>
  <c r="AH56" i="2"/>
  <c r="AI56" i="2"/>
  <c r="AK56" i="2"/>
  <c r="AB57" i="2"/>
  <c r="AC57" i="2" s="1"/>
  <c r="AD57" i="2" s="1"/>
  <c r="AH57" i="2"/>
  <c r="AI57" i="2"/>
  <c r="AK57" i="2"/>
  <c r="AB58" i="2"/>
  <c r="AC58" i="2" s="1"/>
  <c r="AD58" i="2" s="1"/>
  <c r="AH58" i="2"/>
  <c r="AI58" i="2"/>
  <c r="AK58" i="2"/>
  <c r="AB59" i="2"/>
  <c r="AC59" i="2" s="1"/>
  <c r="AD59" i="2" s="1"/>
  <c r="AH59" i="2"/>
  <c r="AI59" i="2"/>
  <c r="AK59" i="2"/>
  <c r="AB60" i="2"/>
  <c r="AC60" i="2" s="1"/>
  <c r="AD60" i="2" s="1"/>
  <c r="AH60" i="2"/>
  <c r="AI60" i="2"/>
  <c r="AK60" i="2"/>
  <c r="AB61" i="2"/>
  <c r="AC61" i="2" s="1"/>
  <c r="AD61" i="2" s="1"/>
  <c r="AH61" i="2"/>
  <c r="AI61" i="2"/>
  <c r="AK61" i="2"/>
  <c r="AB62" i="2"/>
  <c r="AC62" i="2" s="1"/>
  <c r="AD62" i="2" s="1"/>
  <c r="AH62" i="2"/>
  <c r="AI62" i="2"/>
  <c r="AK62" i="2"/>
  <c r="R63" i="2"/>
  <c r="AB63" i="2"/>
  <c r="AC63" i="2" s="1"/>
  <c r="AD63" i="2" s="1"/>
  <c r="AH63" i="2"/>
  <c r="AI63" i="2"/>
  <c r="AK63" i="2"/>
  <c r="R64" i="2"/>
  <c r="AB64" i="2"/>
  <c r="AC64" i="2" s="1"/>
  <c r="AD64" i="2" s="1"/>
  <c r="AH64" i="2"/>
  <c r="AI64" i="2"/>
  <c r="AK64" i="2"/>
  <c r="R65" i="2"/>
  <c r="AB65" i="2"/>
  <c r="AC65" i="2" s="1"/>
  <c r="AD65" i="2" s="1"/>
  <c r="AH65" i="2"/>
  <c r="AI65" i="2"/>
  <c r="AK65" i="2"/>
  <c r="AB66" i="2"/>
  <c r="AC66" i="2" s="1"/>
  <c r="AD66" i="2" s="1"/>
  <c r="AH66" i="2"/>
  <c r="AI66" i="2"/>
  <c r="AK66" i="2"/>
  <c r="AB67" i="2"/>
  <c r="AC67" i="2" s="1"/>
  <c r="AD67" i="2" s="1"/>
  <c r="AH67" i="2"/>
  <c r="AI67" i="2"/>
  <c r="AK67" i="2"/>
  <c r="AB68" i="2"/>
  <c r="AC68" i="2" s="1"/>
  <c r="AD68" i="2" s="1"/>
  <c r="AH68" i="2"/>
  <c r="AI68" i="2"/>
  <c r="AK68" i="2"/>
  <c r="N54" i="4" l="1"/>
  <c r="N60" i="4"/>
  <c r="N59" i="4"/>
  <c r="N58" i="4"/>
  <c r="N57" i="4"/>
  <c r="N56" i="4"/>
  <c r="D55" i="4"/>
  <c r="D54" i="4"/>
  <c r="N61" i="4" l="1"/>
  <c r="F54" i="4"/>
  <c r="F55" i="4"/>
  <c r="G58" i="4"/>
  <c r="H58" i="4" s="1"/>
  <c r="Q63" i="1" l="1"/>
  <c r="Q64" i="1"/>
  <c r="Q65" i="1"/>
  <c r="W65" i="1" s="1"/>
  <c r="Y65" i="1" s="1"/>
  <c r="Q52" i="1"/>
  <c r="Q53" i="1"/>
  <c r="W53" i="1" s="1"/>
  <c r="Q40" i="1"/>
  <c r="W40" i="1" s="1"/>
  <c r="Y40" i="1" s="1"/>
  <c r="R52" i="1" l="1"/>
  <c r="R64" i="1"/>
  <c r="W64" i="1"/>
  <c r="Y64" i="1" s="1"/>
  <c r="W63" i="1"/>
  <c r="Y63" i="1" s="1"/>
  <c r="R63" i="1"/>
  <c r="X52" i="1" l="1"/>
  <c r="Y52" i="1" s="1"/>
  <c r="Q93" i="1"/>
  <c r="W93" i="1" s="1"/>
  <c r="Q92" i="1"/>
  <c r="W92" i="1" s="1"/>
  <c r="Q91" i="1"/>
  <c r="W91" i="1" s="1"/>
  <c r="D87" i="6" l="1"/>
  <c r="S87" i="6" s="1"/>
  <c r="Y92" i="1"/>
  <c r="D88" i="6"/>
  <c r="S88" i="6" s="1"/>
  <c r="Y93" i="1"/>
  <c r="D86" i="6"/>
  <c r="S86" i="6" s="1"/>
  <c r="Y91" i="1"/>
  <c r="A117" i="6"/>
  <c r="A116" i="6"/>
  <c r="A115" i="6"/>
  <c r="A113" i="6"/>
  <c r="A112" i="6"/>
  <c r="A111" i="6"/>
  <c r="A110" i="6"/>
  <c r="A109" i="6"/>
  <c r="A108" i="6"/>
  <c r="A107" i="6"/>
  <c r="A106" i="6"/>
  <c r="A105" i="6"/>
  <c r="A104" i="6"/>
  <c r="A103" i="6"/>
  <c r="A102" i="6"/>
  <c r="A101" i="6"/>
  <c r="A100" i="6"/>
  <c r="A98" i="6"/>
  <c r="A97" i="6"/>
  <c r="A96" i="6"/>
  <c r="A94" i="6"/>
  <c r="A93" i="6"/>
  <c r="A92" i="6"/>
  <c r="A91" i="6"/>
  <c r="A76" i="6"/>
  <c r="A75" i="6"/>
  <c r="A74" i="6"/>
  <c r="A73" i="6"/>
  <c r="A72" i="6"/>
  <c r="A71" i="6"/>
  <c r="A70" i="6"/>
  <c r="A69" i="6"/>
  <c r="A68" i="6"/>
  <c r="A66" i="6"/>
  <c r="A65" i="6"/>
  <c r="A64" i="6"/>
  <c r="A63" i="6"/>
  <c r="A62" i="6"/>
  <c r="A61" i="6"/>
  <c r="A60" i="6"/>
  <c r="A59" i="6"/>
  <c r="A58" i="6"/>
  <c r="A56" i="6"/>
  <c r="A55" i="6"/>
  <c r="A54" i="6"/>
  <c r="A53" i="6"/>
  <c r="A51" i="6"/>
  <c r="A50" i="6"/>
  <c r="A49" i="6"/>
  <c r="A48" i="6"/>
  <c r="A47" i="6"/>
  <c r="A46" i="6"/>
  <c r="A45" i="6"/>
  <c r="A44" i="6"/>
  <c r="A43" i="6"/>
  <c r="A42" i="6"/>
  <c r="A41" i="6"/>
  <c r="A40" i="6"/>
  <c r="A39" i="6"/>
  <c r="A38" i="6"/>
  <c r="A37" i="6"/>
  <c r="A36" i="6"/>
  <c r="A35" i="6"/>
  <c r="A34" i="6"/>
  <c r="A33" i="6"/>
  <c r="A32" i="6"/>
  <c r="A31" i="6"/>
  <c r="A30" i="6"/>
  <c r="A29" i="6"/>
  <c r="A28" i="6"/>
  <c r="A26" i="6"/>
  <c r="A25" i="6"/>
  <c r="A24" i="6"/>
  <c r="A23" i="6"/>
  <c r="A22" i="6"/>
  <c r="A21" i="6"/>
  <c r="A20" i="6"/>
  <c r="A19" i="6"/>
  <c r="A18" i="6"/>
  <c r="A17" i="6"/>
  <c r="A16" i="6"/>
  <c r="A12" i="6"/>
  <c r="A11" i="6"/>
  <c r="A10" i="6"/>
  <c r="A9" i="6"/>
  <c r="A8" i="6"/>
  <c r="A7" i="6"/>
  <c r="A6" i="6"/>
  <c r="A5" i="6"/>
  <c r="A4" i="6"/>
  <c r="A3" i="6"/>
  <c r="A15" i="6"/>
  <c r="A14" i="6"/>
  <c r="A13" i="6"/>
  <c r="K113" i="2" l="1"/>
  <c r="K114" i="2"/>
  <c r="K115" i="2"/>
  <c r="K117" i="2"/>
  <c r="K97" i="2"/>
  <c r="K98" i="2"/>
  <c r="K99" i="2"/>
  <c r="K100" i="2"/>
  <c r="K101" i="2"/>
  <c r="K102" i="2"/>
  <c r="K84" i="2"/>
  <c r="K85" i="2"/>
  <c r="K86" i="2"/>
  <c r="K87" i="2"/>
  <c r="K88" i="2"/>
  <c r="K89" i="2"/>
  <c r="K90" i="2"/>
  <c r="K91" i="2"/>
  <c r="K92" i="2"/>
  <c r="K28" i="2"/>
  <c r="K29" i="2"/>
  <c r="K30" i="2"/>
  <c r="K31" i="2"/>
  <c r="K32" i="2"/>
  <c r="K33" i="2"/>
  <c r="K19" i="2"/>
  <c r="K20" i="2"/>
  <c r="K21" i="2"/>
  <c r="K22" i="2"/>
  <c r="K23" i="2"/>
  <c r="K24" i="2"/>
  <c r="K25" i="2"/>
  <c r="K26" i="2"/>
  <c r="K6" i="2"/>
  <c r="K7" i="2"/>
  <c r="K8" i="2"/>
  <c r="K9" i="2"/>
  <c r="K10" i="2"/>
  <c r="K11" i="2"/>
  <c r="K12" i="2"/>
  <c r="K13" i="2"/>
  <c r="K14" i="2"/>
  <c r="K15" i="2"/>
  <c r="K16" i="2"/>
  <c r="K17" i="2"/>
  <c r="S93" i="1"/>
  <c r="S91" i="1"/>
  <c r="S92" i="1"/>
  <c r="S63" i="1"/>
  <c r="S64" i="1"/>
  <c r="S65" i="1"/>
  <c r="S52" i="1"/>
  <c r="S40" i="1"/>
  <c r="S53" i="1" l="1"/>
  <c r="C51" i="6"/>
  <c r="AM3" i="2"/>
  <c r="AN5" i="2" s="1"/>
  <c r="AN3" i="2" l="1"/>
  <c r="AN6" i="2"/>
  <c r="AN4" i="2"/>
  <c r="AN7" i="2"/>
  <c r="K66" i="2"/>
  <c r="K67" i="2"/>
  <c r="K68" i="2"/>
  <c r="K53" i="2"/>
  <c r="A77" i="4" l="1"/>
  <c r="A86" i="4" s="1"/>
  <c r="D56" i="4"/>
  <c r="F56" i="4" s="1"/>
  <c r="D57" i="4"/>
  <c r="D58" i="4"/>
  <c r="D59" i="4"/>
  <c r="D60" i="4"/>
  <c r="F60" i="4" s="1"/>
  <c r="A55" i="4"/>
  <c r="A56" i="4"/>
  <c r="K56" i="4" s="1"/>
  <c r="U56" i="4" s="1"/>
  <c r="AE56" i="4" s="1"/>
  <c r="A57" i="4"/>
  <c r="A58" i="4"/>
  <c r="A59" i="4"/>
  <c r="A60" i="4"/>
  <c r="K60" i="4" s="1"/>
  <c r="U60" i="4" s="1"/>
  <c r="AE60" i="4" s="1"/>
  <c r="A54" i="4"/>
  <c r="K54" i="4" s="1"/>
  <c r="U54" i="4" s="1"/>
  <c r="AE54" i="4" s="1"/>
  <c r="AG60" i="4"/>
  <c r="AF60" i="4"/>
  <c r="AG59" i="4"/>
  <c r="AF59" i="4"/>
  <c r="X59" i="4"/>
  <c r="AG58" i="4"/>
  <c r="AF58" i="4"/>
  <c r="X58" i="4"/>
  <c r="K58" i="4"/>
  <c r="U58" i="4" s="1"/>
  <c r="AE58" i="4" s="1"/>
  <c r="AG57" i="4"/>
  <c r="AF57" i="4"/>
  <c r="X57" i="4"/>
  <c r="X61" i="4" s="1"/>
  <c r="A80" i="4"/>
  <c r="A89" i="4" s="1"/>
  <c r="AG56" i="4"/>
  <c r="AF56" i="4"/>
  <c r="AG55" i="4"/>
  <c r="AF55" i="4"/>
  <c r="A78" i="4"/>
  <c r="A87" i="4" s="1"/>
  <c r="AG54" i="4"/>
  <c r="AF54" i="4"/>
  <c r="AF43" i="4"/>
  <c r="AG43" i="4"/>
  <c r="AF44" i="4"/>
  <c r="AG44" i="4"/>
  <c r="AF45" i="4"/>
  <c r="AG45" i="4"/>
  <c r="AF46" i="4"/>
  <c r="AG46" i="4"/>
  <c r="AF47" i="4"/>
  <c r="AG47" i="4"/>
  <c r="AF48" i="4"/>
  <c r="AG48" i="4"/>
  <c r="AG42" i="4"/>
  <c r="AF42" i="4"/>
  <c r="X43" i="4"/>
  <c r="X44" i="4"/>
  <c r="X45" i="4"/>
  <c r="X46" i="4"/>
  <c r="X47" i="4"/>
  <c r="X48" i="4"/>
  <c r="X42" i="4"/>
  <c r="N46" i="4"/>
  <c r="N48" i="4"/>
  <c r="D44" i="4"/>
  <c r="D45" i="4"/>
  <c r="D46" i="4"/>
  <c r="D47" i="4"/>
  <c r="D48" i="4"/>
  <c r="D42" i="4"/>
  <c r="A43" i="4"/>
  <c r="A44" i="4"/>
  <c r="A45" i="4"/>
  <c r="A46" i="4"/>
  <c r="A47" i="4"/>
  <c r="A48" i="4"/>
  <c r="A42" i="4"/>
  <c r="C49" i="4"/>
  <c r="AF30" i="4"/>
  <c r="AG30" i="4"/>
  <c r="AF31" i="4"/>
  <c r="AG31" i="4"/>
  <c r="AF32" i="4"/>
  <c r="AG32" i="4"/>
  <c r="AF33" i="4"/>
  <c r="AG33" i="4"/>
  <c r="AF34" i="4"/>
  <c r="AG34" i="4"/>
  <c r="AF35" i="4"/>
  <c r="AG35" i="4"/>
  <c r="AF36" i="4"/>
  <c r="AG36" i="4"/>
  <c r="AG29" i="4"/>
  <c r="AF29" i="4"/>
  <c r="X30" i="4"/>
  <c r="X31" i="4"/>
  <c r="X32" i="4"/>
  <c r="X33" i="4"/>
  <c r="X34" i="4"/>
  <c r="X35" i="4"/>
  <c r="X36" i="4"/>
  <c r="X29" i="4"/>
  <c r="N30" i="4"/>
  <c r="N31" i="4"/>
  <c r="N32" i="4"/>
  <c r="N33" i="4"/>
  <c r="N34" i="4"/>
  <c r="N35" i="4"/>
  <c r="N36" i="4"/>
  <c r="N29" i="4"/>
  <c r="M37" i="4"/>
  <c r="D30" i="4"/>
  <c r="D31" i="4"/>
  <c r="D32" i="4"/>
  <c r="D33" i="4"/>
  <c r="D34" i="4"/>
  <c r="D35" i="4"/>
  <c r="D36" i="4"/>
  <c r="D29" i="4"/>
  <c r="A30" i="4"/>
  <c r="A31" i="4"/>
  <c r="A32" i="4"/>
  <c r="A33" i="4"/>
  <c r="A34" i="4"/>
  <c r="A35" i="4"/>
  <c r="A36" i="4"/>
  <c r="A29" i="4"/>
  <c r="AF16" i="4"/>
  <c r="AG16" i="4"/>
  <c r="AF17" i="4"/>
  <c r="AG17" i="4"/>
  <c r="AF18" i="4"/>
  <c r="AG18" i="4"/>
  <c r="AF19" i="4"/>
  <c r="AG19" i="4"/>
  <c r="AF20" i="4"/>
  <c r="AG20" i="4"/>
  <c r="AF21" i="4"/>
  <c r="AG21" i="4"/>
  <c r="AF22" i="4"/>
  <c r="AG22" i="4"/>
  <c r="AF23" i="4"/>
  <c r="AG23" i="4"/>
  <c r="AF15" i="4"/>
  <c r="AG15" i="4"/>
  <c r="X16" i="4"/>
  <c r="X17" i="4"/>
  <c r="X18" i="4"/>
  <c r="X19" i="4"/>
  <c r="X20" i="4"/>
  <c r="X21" i="4"/>
  <c r="X22" i="4"/>
  <c r="X23" i="4"/>
  <c r="X15" i="4"/>
  <c r="M24" i="4"/>
  <c r="N16" i="4"/>
  <c r="N17" i="4"/>
  <c r="N18" i="4"/>
  <c r="N22" i="4"/>
  <c r="N23" i="4"/>
  <c r="D18" i="4"/>
  <c r="D19" i="4"/>
  <c r="D20" i="4"/>
  <c r="D21" i="4"/>
  <c r="D22" i="4"/>
  <c r="D23" i="4"/>
  <c r="E23" i="4" s="1"/>
  <c r="F15" i="4"/>
  <c r="A16" i="4"/>
  <c r="A17" i="4"/>
  <c r="A18" i="4"/>
  <c r="A19" i="4"/>
  <c r="A20" i="4"/>
  <c r="A21" i="4"/>
  <c r="A22" i="4"/>
  <c r="A23" i="4"/>
  <c r="A15" i="4"/>
  <c r="X24" i="4" l="1"/>
  <c r="X37" i="4"/>
  <c r="X49" i="4"/>
  <c r="C7" i="12"/>
  <c r="D7" i="12" s="1"/>
  <c r="Z61" i="4"/>
  <c r="P42" i="4"/>
  <c r="M49" i="4"/>
  <c r="B6" i="10" s="1"/>
  <c r="N37" i="4"/>
  <c r="N24" i="4"/>
  <c r="N49" i="4"/>
  <c r="C6" i="10" s="1"/>
  <c r="F42" i="4"/>
  <c r="F48" i="4"/>
  <c r="F47" i="4"/>
  <c r="F46" i="4"/>
  <c r="F45" i="4"/>
  <c r="F44" i="4"/>
  <c r="I44" i="4" s="1"/>
  <c r="F36" i="4"/>
  <c r="I36" i="4" s="1"/>
  <c r="F35" i="4"/>
  <c r="I35" i="4" s="1"/>
  <c r="F34" i="4"/>
  <c r="I34" i="4" s="1"/>
  <c r="F33" i="4"/>
  <c r="I33" i="4" s="1"/>
  <c r="F32" i="4"/>
  <c r="I32" i="4" s="1"/>
  <c r="P43" i="4"/>
  <c r="S43" i="4" s="1"/>
  <c r="F29" i="4"/>
  <c r="C37" i="4"/>
  <c r="B5" i="5" s="1"/>
  <c r="D37" i="4"/>
  <c r="F21" i="4"/>
  <c r="D24" i="4"/>
  <c r="F20" i="4"/>
  <c r="F22" i="4"/>
  <c r="F23" i="4"/>
  <c r="AG61" i="4"/>
  <c r="F59" i="4"/>
  <c r="D61" i="4"/>
  <c r="E59" i="4"/>
  <c r="F58" i="4"/>
  <c r="I58" i="4" s="1"/>
  <c r="E57" i="4"/>
  <c r="E55" i="4"/>
  <c r="Z46" i="4"/>
  <c r="AH43" i="4"/>
  <c r="E56" i="4"/>
  <c r="F57" i="4"/>
  <c r="E58" i="4"/>
  <c r="O33" i="4"/>
  <c r="Z44" i="4"/>
  <c r="AH45" i="4"/>
  <c r="Y54" i="4"/>
  <c r="Y56" i="4"/>
  <c r="AI56" i="4"/>
  <c r="Y58" i="4"/>
  <c r="AI58" i="4"/>
  <c r="O48" i="4"/>
  <c r="O47" i="4"/>
  <c r="O46" i="4"/>
  <c r="O45" i="4"/>
  <c r="O44" i="4"/>
  <c r="O43" i="4"/>
  <c r="Z45" i="4"/>
  <c r="Z43" i="4"/>
  <c r="AH48" i="4"/>
  <c r="AH47" i="4"/>
  <c r="AH46" i="4"/>
  <c r="AH44" i="4"/>
  <c r="Z55" i="4"/>
  <c r="AH55" i="4"/>
  <c r="O57" i="4"/>
  <c r="Z57" i="4"/>
  <c r="AH57" i="4"/>
  <c r="O59" i="4"/>
  <c r="Z59" i="4"/>
  <c r="AH59" i="4"/>
  <c r="Z60" i="4"/>
  <c r="AH60" i="4"/>
  <c r="K32" i="4"/>
  <c r="U32" i="4" s="1"/>
  <c r="AE32" i="4" s="1"/>
  <c r="Y36" i="4"/>
  <c r="K42" i="4"/>
  <c r="U42" i="4" s="1"/>
  <c r="AE42" i="4" s="1"/>
  <c r="Z48" i="4"/>
  <c r="Z47" i="4"/>
  <c r="AF61" i="4"/>
  <c r="Y55" i="4"/>
  <c r="AI55" i="4"/>
  <c r="Z56" i="4"/>
  <c r="AH56" i="4"/>
  <c r="P57" i="4"/>
  <c r="S57" i="4" s="1"/>
  <c r="Y57" i="4"/>
  <c r="AI57" i="4"/>
  <c r="Z58" i="4"/>
  <c r="AH58" i="4"/>
  <c r="P59" i="4"/>
  <c r="S59" i="4" s="1"/>
  <c r="Y59" i="4"/>
  <c r="AI59" i="4"/>
  <c r="Y60" i="4"/>
  <c r="AI60" i="4"/>
  <c r="E54" i="4"/>
  <c r="E60" i="4"/>
  <c r="Z54" i="4"/>
  <c r="AH54" i="4"/>
  <c r="C61" i="4"/>
  <c r="B7" i="5" s="1"/>
  <c r="A79" i="4"/>
  <c r="A88" i="4" s="1"/>
  <c r="A81" i="4"/>
  <c r="A90" i="4" s="1"/>
  <c r="AI54" i="4"/>
  <c r="K55" i="4"/>
  <c r="U55" i="4" s="1"/>
  <c r="AE55" i="4" s="1"/>
  <c r="K57" i="4"/>
  <c r="U57" i="4" s="1"/>
  <c r="AE57" i="4" s="1"/>
  <c r="K59" i="4"/>
  <c r="U59" i="4" s="1"/>
  <c r="AE59" i="4" s="1"/>
  <c r="AG49" i="4"/>
  <c r="E22" i="4"/>
  <c r="K31" i="4"/>
  <c r="U31" i="4" s="1"/>
  <c r="AE31" i="4" s="1"/>
  <c r="K33" i="4"/>
  <c r="U33" i="4" s="1"/>
  <c r="AE33" i="4" s="1"/>
  <c r="P31" i="4"/>
  <c r="Z33" i="4"/>
  <c r="Y32" i="4"/>
  <c r="Y31" i="4"/>
  <c r="AH33" i="4"/>
  <c r="AI31" i="4"/>
  <c r="P23" i="4"/>
  <c r="S21" i="4"/>
  <c r="O20" i="4"/>
  <c r="O16" i="4"/>
  <c r="E36" i="4"/>
  <c r="F31" i="4"/>
  <c r="B6" i="5"/>
  <c r="AI20" i="4"/>
  <c r="AI17" i="4"/>
  <c r="K35" i="4"/>
  <c r="U35" i="4" s="1"/>
  <c r="AE35" i="4" s="1"/>
  <c r="P36" i="4"/>
  <c r="S36" i="4" s="1"/>
  <c r="AI36" i="4"/>
  <c r="AI32" i="4"/>
  <c r="Y48" i="4"/>
  <c r="AI48" i="4"/>
  <c r="E42" i="4"/>
  <c r="AF49" i="4"/>
  <c r="AH42" i="4"/>
  <c r="K43" i="4"/>
  <c r="U43" i="4" s="1"/>
  <c r="AE43" i="4" s="1"/>
  <c r="K46" i="4"/>
  <c r="U46" i="4" s="1"/>
  <c r="AE46" i="4" s="1"/>
  <c r="K47" i="4"/>
  <c r="U47" i="4" s="1"/>
  <c r="AE47" i="4" s="1"/>
  <c r="O42" i="4"/>
  <c r="Y42" i="4"/>
  <c r="Z42" i="4"/>
  <c r="Y43" i="4"/>
  <c r="AI43" i="4"/>
  <c r="E44" i="4"/>
  <c r="P44" i="4"/>
  <c r="S44" i="4" s="1"/>
  <c r="Y44" i="4"/>
  <c r="AI44" i="4"/>
  <c r="E45" i="4"/>
  <c r="P45" i="4"/>
  <c r="S45" i="4" s="1"/>
  <c r="Y45" i="4"/>
  <c r="AI45" i="4"/>
  <c r="E46" i="4"/>
  <c r="P46" i="4"/>
  <c r="Y46" i="4"/>
  <c r="AI46" i="4"/>
  <c r="E47" i="4"/>
  <c r="P47" i="4"/>
  <c r="S47" i="4" s="1"/>
  <c r="Y47" i="4"/>
  <c r="AI47" i="4"/>
  <c r="E48" i="4"/>
  <c r="P48" i="4"/>
  <c r="S48" i="4" s="1"/>
  <c r="K44" i="4"/>
  <c r="U44" i="4" s="1"/>
  <c r="AE44" i="4" s="1"/>
  <c r="K45" i="4"/>
  <c r="U45" i="4" s="1"/>
  <c r="AE45" i="4" s="1"/>
  <c r="K48" i="4"/>
  <c r="U48" i="4" s="1"/>
  <c r="AE48" i="4" s="1"/>
  <c r="AI42" i="4"/>
  <c r="E30" i="4"/>
  <c r="P30" i="4"/>
  <c r="S30" i="4" s="1"/>
  <c r="Y30" i="4"/>
  <c r="AI30" i="4"/>
  <c r="P32" i="4"/>
  <c r="S32" i="4" s="1"/>
  <c r="AI21" i="4"/>
  <c r="AI16" i="4"/>
  <c r="E34" i="4"/>
  <c r="P34" i="4"/>
  <c r="S34" i="4" s="1"/>
  <c r="Y34" i="4"/>
  <c r="AI34" i="4"/>
  <c r="O35" i="4"/>
  <c r="Z35" i="4"/>
  <c r="AH35" i="4"/>
  <c r="P22" i="4"/>
  <c r="P18" i="4"/>
  <c r="O23" i="4"/>
  <c r="O21" i="4"/>
  <c r="O19" i="4"/>
  <c r="O17" i="4"/>
  <c r="AH23" i="4"/>
  <c r="AH22" i="4"/>
  <c r="AH19" i="4"/>
  <c r="AH18" i="4"/>
  <c r="AH16" i="4"/>
  <c r="B5" i="10"/>
  <c r="AF37" i="4"/>
  <c r="K17" i="4"/>
  <c r="U17" i="4" s="1"/>
  <c r="AE17" i="4" s="1"/>
  <c r="K21" i="4"/>
  <c r="U21" i="4" s="1"/>
  <c r="AE21" i="4" s="1"/>
  <c r="K23" i="4"/>
  <c r="U23" i="4" s="1"/>
  <c r="AE23" i="4" s="1"/>
  <c r="K19" i="4"/>
  <c r="U19" i="4" s="1"/>
  <c r="AE19" i="4" s="1"/>
  <c r="O22" i="4"/>
  <c r="O18" i="4"/>
  <c r="K15" i="4"/>
  <c r="U15" i="4" s="1"/>
  <c r="AE15" i="4" s="1"/>
  <c r="K22" i="4"/>
  <c r="U22" i="4" s="1"/>
  <c r="AE22" i="4" s="1"/>
  <c r="K20" i="4"/>
  <c r="U20" i="4" s="1"/>
  <c r="AE20" i="4" s="1"/>
  <c r="K18" i="4"/>
  <c r="U18" i="4" s="1"/>
  <c r="AE18" i="4" s="1"/>
  <c r="K16" i="4"/>
  <c r="U16" i="4" s="1"/>
  <c r="AE16" i="4" s="1"/>
  <c r="AI22" i="4"/>
  <c r="AH21" i="4"/>
  <c r="AH20" i="4"/>
  <c r="AI19" i="4"/>
  <c r="AI18" i="4"/>
  <c r="AH17" i="4"/>
  <c r="F30" i="4"/>
  <c r="I30" i="4" s="1"/>
  <c r="O30" i="4"/>
  <c r="Z30" i="4"/>
  <c r="AH30" i="4"/>
  <c r="E31" i="4"/>
  <c r="O31" i="4"/>
  <c r="Z31" i="4"/>
  <c r="AH31" i="4"/>
  <c r="E32" i="4"/>
  <c r="O32" i="4"/>
  <c r="Z32" i="4"/>
  <c r="AH32" i="4"/>
  <c r="E33" i="4"/>
  <c r="P33" i="4"/>
  <c r="S33" i="4" s="1"/>
  <c r="Y33" i="4"/>
  <c r="AI33" i="4"/>
  <c r="O34" i="4"/>
  <c r="Z34" i="4"/>
  <c r="AH34" i="4"/>
  <c r="E35" i="4"/>
  <c r="P35" i="4"/>
  <c r="S35" i="4" s="1"/>
  <c r="Y35" i="4"/>
  <c r="AI35" i="4"/>
  <c r="O36" i="4"/>
  <c r="Z36" i="4"/>
  <c r="AH36" i="4"/>
  <c r="Z29" i="4"/>
  <c r="AC29" i="4" s="1"/>
  <c r="AH29" i="4"/>
  <c r="K30" i="4"/>
  <c r="U30" i="4" s="1"/>
  <c r="AE30" i="4" s="1"/>
  <c r="O29" i="4"/>
  <c r="E29" i="4"/>
  <c r="K29" i="4"/>
  <c r="U29" i="4" s="1"/>
  <c r="AE29" i="4" s="1"/>
  <c r="P29" i="4"/>
  <c r="S29" i="4" s="1"/>
  <c r="Y29" i="4"/>
  <c r="AG37" i="4"/>
  <c r="AI29" i="4"/>
  <c r="K36" i="4"/>
  <c r="U36" i="4" s="1"/>
  <c r="AE36" i="4" s="1"/>
  <c r="K34" i="4"/>
  <c r="U34" i="4" s="1"/>
  <c r="AE34" i="4" s="1"/>
  <c r="AI23" i="4"/>
  <c r="C5" i="12" l="1"/>
  <c r="D5" i="12" s="1"/>
  <c r="C6" i="12"/>
  <c r="D6" i="12" s="1"/>
  <c r="Z49" i="4"/>
  <c r="G80" i="4" s="1"/>
  <c r="C4" i="12"/>
  <c r="D4" i="12" s="1"/>
  <c r="Z24" i="4"/>
  <c r="AC24" i="4" s="1"/>
  <c r="F61" i="4"/>
  <c r="C81" i="4" s="1"/>
  <c r="C5" i="5"/>
  <c r="F37" i="4"/>
  <c r="C79" i="4" s="1"/>
  <c r="C5" i="10"/>
  <c r="P37" i="4"/>
  <c r="C7" i="10"/>
  <c r="P49" i="4"/>
  <c r="C7" i="5"/>
  <c r="E37" i="4"/>
  <c r="D5" i="5" s="1"/>
  <c r="O49" i="4"/>
  <c r="D6" i="10" s="1"/>
  <c r="AH49" i="4"/>
  <c r="E61" i="4"/>
  <c r="D7" i="5" s="1"/>
  <c r="Y61" i="4"/>
  <c r="AH61" i="4"/>
  <c r="AI61" i="4"/>
  <c r="G81" i="4"/>
  <c r="AI49" i="4"/>
  <c r="Y49" i="4"/>
  <c r="Y37" i="4"/>
  <c r="O37" i="4"/>
  <c r="D5" i="10" s="1"/>
  <c r="AH37" i="4"/>
  <c r="AI37" i="4"/>
  <c r="G79" i="4"/>
  <c r="O15" i="4"/>
  <c r="AF24" i="4"/>
  <c r="E19" i="4"/>
  <c r="E21" i="4"/>
  <c r="C4" i="5"/>
  <c r="AG24" i="4"/>
  <c r="E16" i="4"/>
  <c r="E20" i="4"/>
  <c r="F16" i="4"/>
  <c r="F19" i="4"/>
  <c r="AH15" i="4"/>
  <c r="AH24" i="4" s="1"/>
  <c r="B4" i="10"/>
  <c r="AI15" i="4"/>
  <c r="AG4" i="4"/>
  <c r="AG5" i="4"/>
  <c r="AG6" i="4"/>
  <c r="AG7" i="4"/>
  <c r="AG8" i="4"/>
  <c r="AG9" i="4"/>
  <c r="AG3" i="4"/>
  <c r="AF4" i="4"/>
  <c r="AF5" i="4"/>
  <c r="AF6" i="4"/>
  <c r="AF7" i="4"/>
  <c r="AF8" i="4"/>
  <c r="AF9" i="4"/>
  <c r="AF3" i="4"/>
  <c r="X4" i="4"/>
  <c r="Z4" i="4" s="1"/>
  <c r="X5" i="4"/>
  <c r="Z5" i="4" s="1"/>
  <c r="X6" i="4"/>
  <c r="Z6" i="4" s="1"/>
  <c r="X7" i="4"/>
  <c r="Z7" i="4" s="1"/>
  <c r="X8" i="4"/>
  <c r="Z8" i="4" s="1"/>
  <c r="X9" i="4"/>
  <c r="Z9" i="4" s="1"/>
  <c r="X3" i="4"/>
  <c r="N4" i="4"/>
  <c r="P4" i="4" s="1"/>
  <c r="N5" i="4"/>
  <c r="P5" i="4" s="1"/>
  <c r="N6" i="4"/>
  <c r="P6" i="4" s="1"/>
  <c r="N7" i="4"/>
  <c r="P7" i="4" s="1"/>
  <c r="N8" i="4"/>
  <c r="N9" i="4"/>
  <c r="P9" i="4" s="1"/>
  <c r="D4" i="4"/>
  <c r="D5" i="4"/>
  <c r="F5" i="4" s="1"/>
  <c r="D6" i="4"/>
  <c r="F6" i="4" s="1"/>
  <c r="D7" i="4"/>
  <c r="F7" i="4" s="1"/>
  <c r="D8" i="4"/>
  <c r="F8" i="4" s="1"/>
  <c r="X10" i="4" l="1"/>
  <c r="Z3" i="4"/>
  <c r="H81" i="4"/>
  <c r="E7" i="12"/>
  <c r="H80" i="4"/>
  <c r="E6" i="12"/>
  <c r="H79" i="4"/>
  <c r="E5" i="12"/>
  <c r="E5" i="5"/>
  <c r="D79" i="4"/>
  <c r="F4" i="4"/>
  <c r="E7" i="5"/>
  <c r="D81" i="4"/>
  <c r="C10" i="4"/>
  <c r="E80" i="4"/>
  <c r="E6" i="10" s="1"/>
  <c r="E79" i="4"/>
  <c r="E5" i="10" s="1"/>
  <c r="C4" i="10"/>
  <c r="O24" i="4"/>
  <c r="D4" i="10" s="1"/>
  <c r="AI24" i="4"/>
  <c r="A114" i="6"/>
  <c r="B114" i="6"/>
  <c r="F114" i="6"/>
  <c r="AK114" i="6" s="1"/>
  <c r="B115" i="6"/>
  <c r="F115" i="6"/>
  <c r="AK115" i="6" s="1"/>
  <c r="B116" i="6"/>
  <c r="J116" i="6"/>
  <c r="D116" i="6"/>
  <c r="S116" i="6" s="1"/>
  <c r="E116" i="6"/>
  <c r="AB116" i="6" s="1"/>
  <c r="F116" i="6"/>
  <c r="AK116" i="6" s="1"/>
  <c r="B117" i="6"/>
  <c r="J117" i="6"/>
  <c r="D117" i="6"/>
  <c r="S117" i="6" s="1"/>
  <c r="E117" i="6"/>
  <c r="AB117" i="6" s="1"/>
  <c r="F117" i="6"/>
  <c r="AK117" i="6" s="1"/>
  <c r="S118" i="6"/>
  <c r="AB118" i="6"/>
  <c r="AK118" i="6"/>
  <c r="B73" i="6"/>
  <c r="F73" i="6"/>
  <c r="AK73" i="6" s="1"/>
  <c r="B74" i="6"/>
  <c r="F74" i="6"/>
  <c r="AK74" i="6" s="1"/>
  <c r="B75" i="6"/>
  <c r="F75" i="6"/>
  <c r="AK75" i="6" s="1"/>
  <c r="B76" i="6"/>
  <c r="F76" i="6"/>
  <c r="AK76" i="6" s="1"/>
  <c r="A77" i="6"/>
  <c r="B77" i="6"/>
  <c r="F77" i="6"/>
  <c r="AK77" i="6" s="1"/>
  <c r="A78" i="6"/>
  <c r="B78" i="6"/>
  <c r="F78" i="6"/>
  <c r="AK78" i="6" s="1"/>
  <c r="A79" i="6"/>
  <c r="B79" i="6"/>
  <c r="F79" i="6"/>
  <c r="AK79" i="6" s="1"/>
  <c r="B80" i="6"/>
  <c r="F80" i="6"/>
  <c r="AK80" i="6" s="1"/>
  <c r="B81" i="6"/>
  <c r="F81" i="6"/>
  <c r="AK81" i="6" s="1"/>
  <c r="B82" i="6"/>
  <c r="F82" i="6"/>
  <c r="AK82" i="6" s="1"/>
  <c r="B83" i="6"/>
  <c r="B84" i="6"/>
  <c r="B91" i="6"/>
  <c r="B92" i="6"/>
  <c r="B93" i="6"/>
  <c r="AK93" i="6"/>
  <c r="B94" i="6"/>
  <c r="AK94" i="6"/>
  <c r="A95" i="6"/>
  <c r="B95" i="6"/>
  <c r="AK95" i="6"/>
  <c r="B96" i="6"/>
  <c r="AK96" i="6"/>
  <c r="B97" i="6"/>
  <c r="F97" i="6"/>
  <c r="AK97" i="6" s="1"/>
  <c r="B98" i="6"/>
  <c r="F98" i="6"/>
  <c r="AK98" i="6" s="1"/>
  <c r="A99" i="6"/>
  <c r="B99" i="6"/>
  <c r="F99" i="6"/>
  <c r="AK99" i="6" s="1"/>
  <c r="B100" i="6"/>
  <c r="F100" i="6"/>
  <c r="AK100" i="6" s="1"/>
  <c r="B101" i="6"/>
  <c r="F101" i="6"/>
  <c r="AK101" i="6" s="1"/>
  <c r="B102" i="6"/>
  <c r="F102" i="6"/>
  <c r="AK102" i="6" s="1"/>
  <c r="B103" i="6"/>
  <c r="F103" i="6"/>
  <c r="AK103" i="6" s="1"/>
  <c r="B104" i="6"/>
  <c r="F104" i="6"/>
  <c r="AK104" i="6" s="1"/>
  <c r="B105" i="6"/>
  <c r="F105" i="6"/>
  <c r="AK105" i="6" s="1"/>
  <c r="B106" i="6"/>
  <c r="F106" i="6"/>
  <c r="AK106" i="6" s="1"/>
  <c r="B107" i="6"/>
  <c r="F107" i="6"/>
  <c r="AK107" i="6" s="1"/>
  <c r="B108" i="6"/>
  <c r="F108" i="6"/>
  <c r="AK108" i="6" s="1"/>
  <c r="B109" i="6"/>
  <c r="F109" i="6"/>
  <c r="AK109" i="6" s="1"/>
  <c r="B110" i="6"/>
  <c r="F110" i="6"/>
  <c r="AK110" i="6" s="1"/>
  <c r="B111" i="6"/>
  <c r="F111" i="6"/>
  <c r="AK111" i="6" s="1"/>
  <c r="B112" i="6"/>
  <c r="F112" i="6"/>
  <c r="AK112" i="6" s="1"/>
  <c r="B113" i="6"/>
  <c r="F113" i="6"/>
  <c r="AK113" i="6" s="1"/>
  <c r="A52" i="6"/>
  <c r="B52" i="6"/>
  <c r="F52" i="6"/>
  <c r="AK52" i="6" s="1"/>
  <c r="B53" i="6"/>
  <c r="F53" i="6"/>
  <c r="AK53" i="6" s="1"/>
  <c r="B54" i="6"/>
  <c r="F54" i="6"/>
  <c r="AK54" i="6" s="1"/>
  <c r="B55" i="6"/>
  <c r="F55" i="6"/>
  <c r="AK55" i="6" s="1"/>
  <c r="B56" i="6"/>
  <c r="F56" i="6"/>
  <c r="AK56" i="6" s="1"/>
  <c r="A57" i="6"/>
  <c r="B57" i="6"/>
  <c r="F57" i="6"/>
  <c r="AK57" i="6" s="1"/>
  <c r="B58" i="6"/>
  <c r="F58" i="6"/>
  <c r="AK58" i="6" s="1"/>
  <c r="B59" i="6"/>
  <c r="F59" i="6"/>
  <c r="AK59" i="6" s="1"/>
  <c r="B60" i="6"/>
  <c r="F60" i="6"/>
  <c r="AK60" i="6" s="1"/>
  <c r="B61" i="6"/>
  <c r="F61" i="6"/>
  <c r="AK61" i="6" s="1"/>
  <c r="B62" i="6"/>
  <c r="F62" i="6"/>
  <c r="AK62" i="6" s="1"/>
  <c r="B63" i="6"/>
  <c r="F63" i="6"/>
  <c r="AK63" i="6" s="1"/>
  <c r="B64" i="6"/>
  <c r="F64" i="6"/>
  <c r="AK64" i="6" s="1"/>
  <c r="B65" i="6"/>
  <c r="F65" i="6"/>
  <c r="AK65" i="6" s="1"/>
  <c r="B66" i="6"/>
  <c r="F66" i="6"/>
  <c r="AK66" i="6" s="1"/>
  <c r="A67" i="6"/>
  <c r="B67" i="6"/>
  <c r="F67" i="6"/>
  <c r="AK67" i="6" s="1"/>
  <c r="B68" i="6"/>
  <c r="F68" i="6"/>
  <c r="AK68" i="6" s="1"/>
  <c r="B69" i="6"/>
  <c r="F69" i="6"/>
  <c r="AK69" i="6" s="1"/>
  <c r="B70" i="6"/>
  <c r="F70" i="6"/>
  <c r="AK70" i="6" s="1"/>
  <c r="B71" i="6"/>
  <c r="F71" i="6"/>
  <c r="AK71" i="6" s="1"/>
  <c r="B72" i="6"/>
  <c r="F72" i="6"/>
  <c r="AK72" i="6" s="1"/>
  <c r="AK118" i="2"/>
  <c r="AJ118" i="2"/>
  <c r="AH118" i="2"/>
  <c r="AB118" i="2"/>
  <c r="AC118" i="2" s="1"/>
  <c r="AD118" i="2" s="1"/>
  <c r="K118" i="2"/>
  <c r="AK117" i="2"/>
  <c r="AJ117" i="2"/>
  <c r="AH117" i="2"/>
  <c r="AB117" i="2"/>
  <c r="AC117" i="2" s="1"/>
  <c r="AD117" i="2" s="1"/>
  <c r="AK115" i="2"/>
  <c r="AJ115" i="2"/>
  <c r="AH115" i="2"/>
  <c r="AB115" i="2"/>
  <c r="AC115" i="2" s="1"/>
  <c r="AD115" i="2" s="1"/>
  <c r="AK114" i="2"/>
  <c r="AJ114" i="2"/>
  <c r="AH114" i="2"/>
  <c r="AB114" i="2"/>
  <c r="AC114" i="2" s="1"/>
  <c r="AD114" i="2" s="1"/>
  <c r="AK113" i="2"/>
  <c r="AJ113" i="2"/>
  <c r="AH113" i="2"/>
  <c r="AB113" i="2"/>
  <c r="AC113" i="2" s="1"/>
  <c r="AD113" i="2" s="1"/>
  <c r="AK112" i="2"/>
  <c r="AJ112" i="2"/>
  <c r="AH112" i="2"/>
  <c r="AB112" i="2"/>
  <c r="AC112" i="2" s="1"/>
  <c r="AD112" i="2" s="1"/>
  <c r="K112" i="2"/>
  <c r="AK111" i="2"/>
  <c r="AJ111" i="2"/>
  <c r="AH111" i="2"/>
  <c r="AB111" i="2"/>
  <c r="AC111" i="2" s="1"/>
  <c r="AD111" i="2" s="1"/>
  <c r="K111" i="2"/>
  <c r="AK110" i="2"/>
  <c r="AJ110" i="2"/>
  <c r="AH110" i="2"/>
  <c r="AB110" i="2"/>
  <c r="AC110" i="2" s="1"/>
  <c r="AD110" i="2" s="1"/>
  <c r="K110" i="2"/>
  <c r="AK109" i="2"/>
  <c r="AJ109" i="2"/>
  <c r="AH109" i="2"/>
  <c r="AB109" i="2"/>
  <c r="AC109" i="2" s="1"/>
  <c r="AD109" i="2" s="1"/>
  <c r="K109" i="2"/>
  <c r="AK108" i="2"/>
  <c r="AJ108" i="2"/>
  <c r="AH108" i="2"/>
  <c r="AB108" i="2"/>
  <c r="AC108" i="2" s="1"/>
  <c r="AD108" i="2" s="1"/>
  <c r="K108" i="2"/>
  <c r="AK107" i="2"/>
  <c r="AJ107" i="2"/>
  <c r="AH107" i="2"/>
  <c r="AB107" i="2"/>
  <c r="AC107" i="2" s="1"/>
  <c r="AD107" i="2" s="1"/>
  <c r="K107" i="2"/>
  <c r="AK106" i="2"/>
  <c r="AJ106" i="2"/>
  <c r="AH106" i="2"/>
  <c r="AB106" i="2"/>
  <c r="AC106" i="2" s="1"/>
  <c r="AD106" i="2" s="1"/>
  <c r="K106" i="2"/>
  <c r="AK105" i="2"/>
  <c r="AJ105" i="2"/>
  <c r="AH105" i="2"/>
  <c r="AB105" i="2"/>
  <c r="AC105" i="2" s="1"/>
  <c r="AD105" i="2" s="1"/>
  <c r="K105" i="2"/>
  <c r="AK104" i="2"/>
  <c r="AJ104" i="2"/>
  <c r="AH104" i="2"/>
  <c r="AB104" i="2"/>
  <c r="AC104" i="2" s="1"/>
  <c r="AD104" i="2" s="1"/>
  <c r="K104" i="2"/>
  <c r="AK103" i="2"/>
  <c r="AJ103" i="2"/>
  <c r="AH103" i="2"/>
  <c r="AB103" i="2"/>
  <c r="AC103" i="2" s="1"/>
  <c r="AD103" i="2" s="1"/>
  <c r="K103" i="2"/>
  <c r="AK102" i="2"/>
  <c r="AJ102" i="2"/>
  <c r="AH102" i="2"/>
  <c r="AB102" i="2"/>
  <c r="AC102" i="2" s="1"/>
  <c r="AD102" i="2" s="1"/>
  <c r="AK101" i="2"/>
  <c r="AJ101" i="2"/>
  <c r="AH101" i="2"/>
  <c r="AB101" i="2"/>
  <c r="AC101" i="2" s="1"/>
  <c r="AD101" i="2" s="1"/>
  <c r="AP121" i="1"/>
  <c r="AU121" i="1" s="1"/>
  <c r="AJ121" i="1"/>
  <c r="AK121" i="1" s="1"/>
  <c r="R121" i="1"/>
  <c r="G60" i="4" s="1"/>
  <c r="AP120" i="1"/>
  <c r="AU120" i="1" s="1"/>
  <c r="Q120" i="1"/>
  <c r="R120" i="1" s="1"/>
  <c r="AP118" i="1"/>
  <c r="AU118" i="1" s="1"/>
  <c r="AJ118" i="1"/>
  <c r="AK118" i="1" s="1"/>
  <c r="Q118" i="1"/>
  <c r="W118" i="1" s="1"/>
  <c r="AP117" i="1"/>
  <c r="AQ117" i="1" s="1"/>
  <c r="AK117" i="1"/>
  <c r="AJ117" i="1"/>
  <c r="D112" i="6"/>
  <c r="S112" i="6" s="1"/>
  <c r="AP116" i="1"/>
  <c r="AU116" i="1" s="1"/>
  <c r="AK116" i="1"/>
  <c r="AJ116" i="1"/>
  <c r="D111" i="6"/>
  <c r="S111" i="6" s="1"/>
  <c r="AP115" i="1"/>
  <c r="AQ115" i="1" s="1"/>
  <c r="AJ115" i="1"/>
  <c r="AK115" i="1" s="1"/>
  <c r="D110" i="6"/>
  <c r="S110" i="6" s="1"/>
  <c r="AP114" i="1"/>
  <c r="AU114" i="1" s="1"/>
  <c r="AJ114" i="1"/>
  <c r="AK114" i="1" s="1"/>
  <c r="D109" i="6"/>
  <c r="S109" i="6" s="1"/>
  <c r="AP113" i="1"/>
  <c r="AQ113" i="1" s="1"/>
  <c r="AJ113" i="1"/>
  <c r="AK113" i="1" s="1"/>
  <c r="D108" i="6"/>
  <c r="S108" i="6" s="1"/>
  <c r="AP112" i="1"/>
  <c r="AU112" i="1" s="1"/>
  <c r="AJ112" i="1"/>
  <c r="AK112" i="1" s="1"/>
  <c r="D107" i="6"/>
  <c r="S107" i="6" s="1"/>
  <c r="AP111" i="1"/>
  <c r="AQ111" i="1" s="1"/>
  <c r="AJ111" i="1"/>
  <c r="AK111" i="1" s="1"/>
  <c r="D106" i="6"/>
  <c r="S106" i="6" s="1"/>
  <c r="AP110" i="1"/>
  <c r="AU110" i="1" s="1"/>
  <c r="AJ110" i="1"/>
  <c r="AK110" i="1" s="1"/>
  <c r="D105" i="6"/>
  <c r="S105" i="6" s="1"/>
  <c r="AP109" i="1"/>
  <c r="AQ109" i="1" s="1"/>
  <c r="AJ109" i="1"/>
  <c r="AK109" i="1" s="1"/>
  <c r="D104" i="6"/>
  <c r="S104" i="6" s="1"/>
  <c r="AP108" i="1"/>
  <c r="AU108" i="1" s="1"/>
  <c r="AJ108" i="1"/>
  <c r="AK108" i="1" s="1"/>
  <c r="AP107" i="1"/>
  <c r="AQ107" i="1" s="1"/>
  <c r="AJ107" i="1"/>
  <c r="AK107" i="1" s="1"/>
  <c r="D102" i="6"/>
  <c r="S102" i="6" s="1"/>
  <c r="AP106" i="1"/>
  <c r="AU106" i="1" s="1"/>
  <c r="AJ106" i="1"/>
  <c r="AK106" i="1" s="1"/>
  <c r="C101" i="6"/>
  <c r="AP105" i="1"/>
  <c r="AU105" i="1" s="1"/>
  <c r="AJ105" i="1"/>
  <c r="AK105" i="1" s="1"/>
  <c r="AP104" i="1"/>
  <c r="AU104" i="1" s="1"/>
  <c r="AJ104" i="1"/>
  <c r="AK104" i="1" s="1"/>
  <c r="AA54" i="4"/>
  <c r="C3" i="12" l="1"/>
  <c r="Z10" i="4"/>
  <c r="AB54" i="4"/>
  <c r="E102" i="6"/>
  <c r="AB102" i="6" s="1"/>
  <c r="AA55" i="4"/>
  <c r="E115" i="6"/>
  <c r="AB115" i="6" s="1"/>
  <c r="AA60" i="4"/>
  <c r="AB60" i="4" s="1"/>
  <c r="E104" i="6"/>
  <c r="AB104" i="6" s="1"/>
  <c r="E112" i="6"/>
  <c r="AB112" i="6" s="1"/>
  <c r="H60" i="4"/>
  <c r="I60" i="4"/>
  <c r="E113" i="6"/>
  <c r="AB113" i="6" s="1"/>
  <c r="E106" i="6"/>
  <c r="AB106" i="6" s="1"/>
  <c r="E110" i="6"/>
  <c r="AB110" i="6" s="1"/>
  <c r="E105" i="6"/>
  <c r="AB105" i="6" s="1"/>
  <c r="E109" i="6"/>
  <c r="AB109" i="6" s="1"/>
  <c r="E114" i="6"/>
  <c r="AB114" i="6" s="1"/>
  <c r="E103" i="6"/>
  <c r="AB103" i="6" s="1"/>
  <c r="E107" i="6"/>
  <c r="AB107" i="6" s="1"/>
  <c r="E111" i="6"/>
  <c r="AB111" i="6" s="1"/>
  <c r="AA56" i="4"/>
  <c r="AB56" i="4" s="1"/>
  <c r="F80" i="4"/>
  <c r="F79" i="4"/>
  <c r="E78" i="4"/>
  <c r="E4" i="10" s="1"/>
  <c r="W120" i="1"/>
  <c r="X120" i="1" s="1"/>
  <c r="AR121" i="1"/>
  <c r="W121" i="1"/>
  <c r="D103" i="6"/>
  <c r="S103" i="6" s="1"/>
  <c r="AU117" i="1"/>
  <c r="D113" i="6"/>
  <c r="S113" i="6" s="1"/>
  <c r="C111" i="6"/>
  <c r="J111" i="6" s="1"/>
  <c r="AR120" i="1"/>
  <c r="AR118" i="1"/>
  <c r="AQ112" i="1"/>
  <c r="AU113" i="1"/>
  <c r="AY113" i="1" s="1"/>
  <c r="BC113" i="1" s="1"/>
  <c r="AQ116" i="1"/>
  <c r="AY117" i="1"/>
  <c r="BC117" i="1" s="1"/>
  <c r="AQ114" i="1"/>
  <c r="E100" i="6"/>
  <c r="AB100" i="6" s="1"/>
  <c r="E108" i="6"/>
  <c r="AB108" i="6" s="1"/>
  <c r="AY114" i="1"/>
  <c r="BC114" i="1" s="1"/>
  <c r="AQ118" i="1"/>
  <c r="AY118" i="1" s="1"/>
  <c r="BC118" i="1" s="1"/>
  <c r="AE104" i="1"/>
  <c r="E99" i="6"/>
  <c r="AB99" i="6" s="1"/>
  <c r="AR105" i="1"/>
  <c r="E101" i="6"/>
  <c r="AB101" i="6" s="1"/>
  <c r="D99" i="6"/>
  <c r="S99" i="6" s="1"/>
  <c r="D100" i="6"/>
  <c r="S100" i="6" s="1"/>
  <c r="D101" i="6"/>
  <c r="S101" i="6" s="1"/>
  <c r="AQ108" i="1"/>
  <c r="AU109" i="1"/>
  <c r="AY109" i="1" s="1"/>
  <c r="BC109" i="1" s="1"/>
  <c r="AQ110" i="1"/>
  <c r="AY110" i="1" s="1"/>
  <c r="BC110" i="1" s="1"/>
  <c r="AR113" i="1"/>
  <c r="AS113" i="1" s="1"/>
  <c r="AR117" i="1"/>
  <c r="AS117" i="1" s="1"/>
  <c r="I81" i="4"/>
  <c r="AR104" i="1"/>
  <c r="S106" i="1"/>
  <c r="G57" i="4"/>
  <c r="J101" i="6"/>
  <c r="S105" i="1"/>
  <c r="AY108" i="1"/>
  <c r="BC108" i="1" s="1"/>
  <c r="AU111" i="1"/>
  <c r="AY111" i="1" s="1"/>
  <c r="BC111" i="1" s="1"/>
  <c r="AY112" i="1"/>
  <c r="BC112" i="1" s="1"/>
  <c r="AU115" i="1"/>
  <c r="AY115" i="1" s="1"/>
  <c r="BC115" i="1" s="1"/>
  <c r="AY116" i="1"/>
  <c r="BC116" i="1" s="1"/>
  <c r="AT113" i="1"/>
  <c r="AV113" i="1" s="1"/>
  <c r="AZ113" i="1" s="1"/>
  <c r="Y105" i="1"/>
  <c r="Y106" i="1"/>
  <c r="AR106" i="1"/>
  <c r="AR107" i="1"/>
  <c r="AU107" i="1"/>
  <c r="AY107" i="1" s="1"/>
  <c r="BC107" i="1" s="1"/>
  <c r="AR108" i="1"/>
  <c r="AR110" i="1"/>
  <c r="C105" i="6"/>
  <c r="J105" i="6" s="1"/>
  <c r="Y104" i="1"/>
  <c r="AQ104" i="1"/>
  <c r="AY104" i="1" s="1"/>
  <c r="BC104" i="1" s="1"/>
  <c r="AQ105" i="1"/>
  <c r="AY105" i="1" s="1"/>
  <c r="BC105" i="1" s="1"/>
  <c r="AQ106" i="1"/>
  <c r="AY106" i="1" s="1"/>
  <c r="BC106" i="1" s="1"/>
  <c r="Y107" i="1"/>
  <c r="AR109" i="1"/>
  <c r="G59" i="4"/>
  <c r="S110" i="1"/>
  <c r="AR111" i="1"/>
  <c r="Y108" i="1"/>
  <c r="Y109" i="1"/>
  <c r="Y110" i="1"/>
  <c r="Y111" i="1"/>
  <c r="Y112" i="1"/>
  <c r="AR112" i="1"/>
  <c r="Y113" i="1"/>
  <c r="AR115" i="1"/>
  <c r="AR114" i="1"/>
  <c r="AR116" i="1"/>
  <c r="S116" i="1"/>
  <c r="AQ120" i="1"/>
  <c r="AY120" i="1" s="1"/>
  <c r="BC120" i="1" s="1"/>
  <c r="AQ121" i="1"/>
  <c r="AY121" i="1" s="1"/>
  <c r="BC121" i="1" s="1"/>
  <c r="Y114" i="1"/>
  <c r="Y115" i="1"/>
  <c r="Y116" i="1"/>
  <c r="Y117" i="1"/>
  <c r="Y118" i="1"/>
  <c r="D3" i="12" l="1"/>
  <c r="D8" i="12" s="1"/>
  <c r="C8" i="12"/>
  <c r="AB55" i="4"/>
  <c r="AB61" i="4" s="1"/>
  <c r="AA61" i="4"/>
  <c r="AT118" i="1"/>
  <c r="AV118" i="1" s="1"/>
  <c r="AS118" i="1"/>
  <c r="AT117" i="1"/>
  <c r="AV117" i="1" s="1"/>
  <c r="D115" i="6"/>
  <c r="S115" i="6" s="1"/>
  <c r="X121" i="1"/>
  <c r="F78" i="4"/>
  <c r="H59" i="4"/>
  <c r="I59" i="4"/>
  <c r="H57" i="4"/>
  <c r="I57" i="4"/>
  <c r="C99" i="6"/>
  <c r="J99" i="6" s="1"/>
  <c r="I54" i="4"/>
  <c r="G56" i="4"/>
  <c r="C100" i="6"/>
  <c r="J100" i="6" s="1"/>
  <c r="G55" i="4"/>
  <c r="S120" i="1"/>
  <c r="Y120" i="1"/>
  <c r="D114" i="6"/>
  <c r="S114" i="6" s="1"/>
  <c r="S121" i="1"/>
  <c r="C115" i="6"/>
  <c r="J115" i="6" s="1"/>
  <c r="S117" i="1"/>
  <c r="C112" i="6"/>
  <c r="J112" i="6" s="1"/>
  <c r="S113" i="1"/>
  <c r="C108" i="6"/>
  <c r="J108" i="6" s="1"/>
  <c r="S112" i="1"/>
  <c r="C107" i="6"/>
  <c r="J107" i="6" s="1"/>
  <c r="S108" i="1"/>
  <c r="C103" i="6"/>
  <c r="J103" i="6" s="1"/>
  <c r="S107" i="1"/>
  <c r="C102" i="6"/>
  <c r="J102" i="6" s="1"/>
  <c r="S118" i="1"/>
  <c r="C113" i="6"/>
  <c r="J113" i="6" s="1"/>
  <c r="C114" i="6"/>
  <c r="J114" i="6" s="1"/>
  <c r="S114" i="1"/>
  <c r="C109" i="6"/>
  <c r="J109" i="6" s="1"/>
  <c r="S115" i="1"/>
  <c r="C110" i="6"/>
  <c r="J110" i="6" s="1"/>
  <c r="S109" i="1"/>
  <c r="C104" i="6"/>
  <c r="J104" i="6" s="1"/>
  <c r="S104" i="1"/>
  <c r="S111" i="1"/>
  <c r="C106" i="6"/>
  <c r="J106" i="6" s="1"/>
  <c r="AX117" i="1"/>
  <c r="AW117" i="1"/>
  <c r="AZ117" i="1"/>
  <c r="AS121" i="1"/>
  <c r="AX118" i="1"/>
  <c r="AW118" i="1"/>
  <c r="AT116" i="1"/>
  <c r="AV116" i="1" s="1"/>
  <c r="AS116" i="1"/>
  <c r="AT120" i="1"/>
  <c r="AX113" i="1"/>
  <c r="AW113" i="1"/>
  <c r="AT111" i="1"/>
  <c r="AV111" i="1" s="1"/>
  <c r="AS111" i="1"/>
  <c r="AT110" i="1"/>
  <c r="AV110" i="1" s="1"/>
  <c r="AS110" i="1"/>
  <c r="AS106" i="1"/>
  <c r="AT106" i="1"/>
  <c r="AV106" i="1" s="1"/>
  <c r="AT104" i="1"/>
  <c r="AS105" i="1"/>
  <c r="AT121" i="1"/>
  <c r="AZ118" i="1"/>
  <c r="AT114" i="1"/>
  <c r="AS114" i="1"/>
  <c r="BD113" i="1"/>
  <c r="BB113" i="1"/>
  <c r="BA113" i="1"/>
  <c r="AS120" i="1"/>
  <c r="AT115" i="1"/>
  <c r="AV115" i="1" s="1"/>
  <c r="AS115" i="1"/>
  <c r="AS112" i="1"/>
  <c r="AT112" i="1"/>
  <c r="AV112" i="1" s="1"/>
  <c r="AT109" i="1"/>
  <c r="AV109" i="1" s="1"/>
  <c r="AS109" i="1"/>
  <c r="AT108" i="1"/>
  <c r="AV108" i="1" s="1"/>
  <c r="AS108" i="1"/>
  <c r="AT107" i="1"/>
  <c r="AV107" i="1" s="1"/>
  <c r="AS107" i="1"/>
  <c r="AT105" i="1"/>
  <c r="AS104" i="1"/>
  <c r="Y121" i="1" l="1"/>
  <c r="H55" i="4"/>
  <c r="I55" i="4"/>
  <c r="H56" i="4"/>
  <c r="I56" i="4"/>
  <c r="G61" i="4"/>
  <c r="H54" i="4"/>
  <c r="AV105" i="1"/>
  <c r="AW105" i="1" s="1"/>
  <c r="AV114" i="1"/>
  <c r="AZ114" i="1" s="1"/>
  <c r="AV104" i="1"/>
  <c r="AZ104" i="1" s="1"/>
  <c r="AV120" i="1"/>
  <c r="AX120" i="1" s="1"/>
  <c r="AV121" i="1"/>
  <c r="AX121" i="1" s="1"/>
  <c r="AZ105" i="1"/>
  <c r="AX107" i="1"/>
  <c r="AW107" i="1"/>
  <c r="AZ107" i="1"/>
  <c r="AX108" i="1"/>
  <c r="AW108" i="1"/>
  <c r="AZ108" i="1"/>
  <c r="AX109" i="1"/>
  <c r="AW109" i="1"/>
  <c r="AZ109" i="1"/>
  <c r="AX115" i="1"/>
  <c r="AW115" i="1"/>
  <c r="AZ115" i="1"/>
  <c r="BF113" i="1"/>
  <c r="BE113" i="1"/>
  <c r="AZ121" i="1"/>
  <c r="AX110" i="1"/>
  <c r="AW110" i="1"/>
  <c r="AZ110" i="1"/>
  <c r="AX111" i="1"/>
  <c r="AW111" i="1"/>
  <c r="AZ111" i="1"/>
  <c r="AW112" i="1"/>
  <c r="AX112" i="1"/>
  <c r="AZ112" i="1"/>
  <c r="BD118" i="1"/>
  <c r="BB118" i="1"/>
  <c r="BA118" i="1"/>
  <c r="AW106" i="1"/>
  <c r="AX106" i="1"/>
  <c r="AZ106" i="1"/>
  <c r="AX116" i="1"/>
  <c r="AW116" i="1"/>
  <c r="AZ116" i="1"/>
  <c r="BD117" i="1"/>
  <c r="BB117" i="1"/>
  <c r="BA117" i="1"/>
  <c r="AW104" i="1" l="1"/>
  <c r="AW121" i="1"/>
  <c r="AZ120" i="1"/>
  <c r="BD120" i="1" s="1"/>
  <c r="AX104" i="1"/>
  <c r="AX114" i="1"/>
  <c r="R60" i="4"/>
  <c r="R61" i="4" s="1"/>
  <c r="E72" i="4" s="1"/>
  <c r="H61" i="4"/>
  <c r="C72" i="4" s="1"/>
  <c r="AX105" i="1"/>
  <c r="AW120" i="1"/>
  <c r="AW114" i="1"/>
  <c r="BF117" i="1"/>
  <c r="BE117" i="1"/>
  <c r="BF118" i="1"/>
  <c r="BE118" i="1"/>
  <c r="BD111" i="1"/>
  <c r="BB111" i="1"/>
  <c r="BA111" i="1"/>
  <c r="BD114" i="1"/>
  <c r="BB114" i="1"/>
  <c r="BA114" i="1"/>
  <c r="BD109" i="1"/>
  <c r="BB109" i="1"/>
  <c r="BA109" i="1"/>
  <c r="BD107" i="1"/>
  <c r="BB107" i="1"/>
  <c r="BA107" i="1"/>
  <c r="BA105" i="1"/>
  <c r="BD105" i="1"/>
  <c r="BB105" i="1"/>
  <c r="BD116" i="1"/>
  <c r="BB116" i="1"/>
  <c r="BA116" i="1"/>
  <c r="BA106" i="1"/>
  <c r="BD106" i="1"/>
  <c r="BB106" i="1"/>
  <c r="BA112" i="1"/>
  <c r="BD112" i="1"/>
  <c r="BB112" i="1"/>
  <c r="BD110" i="1"/>
  <c r="BB110" i="1"/>
  <c r="BA110" i="1"/>
  <c r="BA104" i="1"/>
  <c r="BD104" i="1"/>
  <c r="BB104" i="1"/>
  <c r="BD121" i="1"/>
  <c r="BB121" i="1"/>
  <c r="BA121" i="1"/>
  <c r="BD115" i="1"/>
  <c r="BB115" i="1"/>
  <c r="BA115" i="1"/>
  <c r="BD108" i="1"/>
  <c r="BB108" i="1"/>
  <c r="BA108" i="1"/>
  <c r="BA120" i="1" l="1"/>
  <c r="BB120" i="1"/>
  <c r="F7" i="5"/>
  <c r="D72" i="4"/>
  <c r="F72" i="4"/>
  <c r="F7" i="10"/>
  <c r="I61" i="4"/>
  <c r="C90" i="4" s="1"/>
  <c r="BF108" i="1"/>
  <c r="BE108" i="1"/>
  <c r="BF121" i="1"/>
  <c r="BE121" i="1"/>
  <c r="BE104" i="1"/>
  <c r="BF104" i="1"/>
  <c r="BF110" i="1"/>
  <c r="BE110" i="1"/>
  <c r="BE112" i="1"/>
  <c r="BF112" i="1"/>
  <c r="BF109" i="1"/>
  <c r="BE109" i="1"/>
  <c r="BF111" i="1"/>
  <c r="BE111" i="1"/>
  <c r="BF115" i="1"/>
  <c r="BE115" i="1"/>
  <c r="BE106" i="1"/>
  <c r="BF106" i="1"/>
  <c r="BF116" i="1"/>
  <c r="BE116" i="1"/>
  <c r="BE105" i="1"/>
  <c r="BF105" i="1"/>
  <c r="BF107" i="1"/>
  <c r="BE107" i="1"/>
  <c r="BF114" i="1"/>
  <c r="BE114" i="1"/>
  <c r="BF120" i="1"/>
  <c r="BE120" i="1"/>
  <c r="D90" i="4" l="1"/>
  <c r="G7" i="5"/>
  <c r="AK100" i="2"/>
  <c r="AJ100" i="2"/>
  <c r="AI100" i="2"/>
  <c r="AH100" i="2"/>
  <c r="AB100" i="2"/>
  <c r="AC100" i="2" s="1"/>
  <c r="AD100" i="2" s="1"/>
  <c r="R100" i="2"/>
  <c r="AK99" i="2"/>
  <c r="AJ99" i="2"/>
  <c r="AI99" i="2"/>
  <c r="AH99" i="2"/>
  <c r="AB99" i="2"/>
  <c r="AC99" i="2" s="1"/>
  <c r="AD99" i="2" s="1"/>
  <c r="R99" i="2"/>
  <c r="AK98" i="2"/>
  <c r="AJ98" i="2"/>
  <c r="AI98" i="2"/>
  <c r="AH98" i="2"/>
  <c r="AB98" i="2"/>
  <c r="AC98" i="2" s="1"/>
  <c r="AD98" i="2" s="1"/>
  <c r="R98" i="2"/>
  <c r="AK97" i="2"/>
  <c r="AJ97" i="2"/>
  <c r="AI97" i="2"/>
  <c r="AH97" i="2"/>
  <c r="AB97" i="2"/>
  <c r="AC97" i="2" s="1"/>
  <c r="AD97" i="2" s="1"/>
  <c r="AK96" i="2"/>
  <c r="AJ96" i="2"/>
  <c r="AI96" i="2"/>
  <c r="AH96" i="2"/>
  <c r="AB96" i="2"/>
  <c r="AC96" i="2" s="1"/>
  <c r="AD96" i="2" s="1"/>
  <c r="K96" i="2"/>
  <c r="AK95" i="2"/>
  <c r="AJ95" i="2"/>
  <c r="AI95" i="2"/>
  <c r="AH95" i="2"/>
  <c r="AB95" i="2"/>
  <c r="AC95" i="2" s="1"/>
  <c r="AD95" i="2" s="1"/>
  <c r="K95" i="2"/>
  <c r="AK94" i="2"/>
  <c r="AJ94" i="2"/>
  <c r="AI94" i="2"/>
  <c r="AH94" i="2"/>
  <c r="AB94" i="2"/>
  <c r="AC94" i="2" s="1"/>
  <c r="AD94" i="2" s="1"/>
  <c r="K94" i="2"/>
  <c r="AK93" i="2"/>
  <c r="AJ93" i="2"/>
  <c r="AI93" i="2"/>
  <c r="AH93" i="2"/>
  <c r="AB93" i="2"/>
  <c r="AC93" i="2" s="1"/>
  <c r="AD93" i="2" s="1"/>
  <c r="R93" i="2"/>
  <c r="K93" i="2"/>
  <c r="AK92" i="2"/>
  <c r="AJ92" i="2"/>
  <c r="AI92" i="2"/>
  <c r="AH92" i="2"/>
  <c r="AB92" i="2"/>
  <c r="AC92" i="2" s="1"/>
  <c r="AD92" i="2" s="1"/>
  <c r="R92" i="2"/>
  <c r="AK91" i="2"/>
  <c r="AJ91" i="2"/>
  <c r="AI91" i="2"/>
  <c r="AB91" i="2"/>
  <c r="AC91" i="2" s="1"/>
  <c r="AD91" i="2" s="1"/>
  <c r="R91" i="2"/>
  <c r="AK90" i="2"/>
  <c r="AJ90" i="2"/>
  <c r="AI90" i="2"/>
  <c r="AH90" i="2"/>
  <c r="AB90" i="2"/>
  <c r="AC90" i="2" s="1"/>
  <c r="AD90" i="2" s="1"/>
  <c r="R90" i="2"/>
  <c r="AK89" i="2"/>
  <c r="AJ89" i="2"/>
  <c r="AI89" i="2"/>
  <c r="AH89" i="2"/>
  <c r="AB89" i="2"/>
  <c r="AC89" i="2" s="1"/>
  <c r="AD89" i="2" s="1"/>
  <c r="R89" i="2"/>
  <c r="AK88" i="2"/>
  <c r="AJ88" i="2"/>
  <c r="AI88" i="2"/>
  <c r="AH88" i="2"/>
  <c r="AB88" i="2"/>
  <c r="AC88" i="2" s="1"/>
  <c r="AD88" i="2" s="1"/>
  <c r="R88" i="2"/>
  <c r="AP103" i="1"/>
  <c r="AU103" i="1" s="1"/>
  <c r="AJ103" i="1"/>
  <c r="AK103" i="1" s="1"/>
  <c r="AC103" i="1"/>
  <c r="D98" i="6"/>
  <c r="S98" i="6" s="1"/>
  <c r="AP102" i="1"/>
  <c r="AU102" i="1" s="1"/>
  <c r="AJ102" i="1"/>
  <c r="AK102" i="1" s="1"/>
  <c r="AC102" i="1"/>
  <c r="D97" i="6"/>
  <c r="S97" i="6" s="1"/>
  <c r="AP101" i="1"/>
  <c r="AU101" i="1" s="1"/>
  <c r="AJ101" i="1"/>
  <c r="AK101" i="1" s="1"/>
  <c r="AC101" i="1"/>
  <c r="D96" i="6"/>
  <c r="S96" i="6" s="1"/>
  <c r="AP100" i="1"/>
  <c r="AQ100" i="1" s="1"/>
  <c r="AJ100" i="1"/>
  <c r="AK100" i="1" s="1"/>
  <c r="AC100" i="1"/>
  <c r="D95" i="6"/>
  <c r="S95" i="6" s="1"/>
  <c r="AP99" i="1"/>
  <c r="AU99" i="1" s="1"/>
  <c r="AJ99" i="1"/>
  <c r="AK99" i="1" s="1"/>
  <c r="AC99" i="1"/>
  <c r="D94" i="6"/>
  <c r="S94" i="6" s="1"/>
  <c r="Q99" i="1"/>
  <c r="W99" i="1" s="1"/>
  <c r="AP98" i="1"/>
  <c r="AU98" i="1" s="1"/>
  <c r="AJ98" i="1"/>
  <c r="AK98" i="1" s="1"/>
  <c r="AC98" i="1"/>
  <c r="Q98" i="1"/>
  <c r="AP97" i="1"/>
  <c r="AU97" i="1" s="1"/>
  <c r="AJ97" i="1"/>
  <c r="AK97" i="1" s="1"/>
  <c r="AC97" i="1"/>
  <c r="AP96" i="1"/>
  <c r="AQ96" i="1" s="1"/>
  <c r="AJ96" i="1"/>
  <c r="AK96" i="1" s="1"/>
  <c r="AC96" i="1"/>
  <c r="AP95" i="1"/>
  <c r="AU95" i="1" s="1"/>
  <c r="AJ95" i="1"/>
  <c r="AK95" i="1" s="1"/>
  <c r="AC95" i="1"/>
  <c r="Q95" i="1"/>
  <c r="W95" i="1" s="1"/>
  <c r="D90" i="6" s="1"/>
  <c r="S90" i="6" s="1"/>
  <c r="AP94" i="1"/>
  <c r="AU94" i="1" s="1"/>
  <c r="AJ94" i="1"/>
  <c r="AK94" i="1" s="1"/>
  <c r="AC94" i="1"/>
  <c r="Q94" i="1"/>
  <c r="W94" i="1" s="1"/>
  <c r="D89" i="6" s="1"/>
  <c r="S89" i="6" s="1"/>
  <c r="AP90" i="1"/>
  <c r="AU90" i="1" s="1"/>
  <c r="AK90" i="1"/>
  <c r="AJ90" i="1"/>
  <c r="Q90" i="1"/>
  <c r="W90" i="1" s="1"/>
  <c r="D85" i="6" s="1"/>
  <c r="S85" i="6" s="1"/>
  <c r="AP89" i="1"/>
  <c r="AQ89" i="1" s="1"/>
  <c r="AJ89" i="1"/>
  <c r="AK89" i="1" s="1"/>
  <c r="Q89" i="1"/>
  <c r="W89" i="1" s="1"/>
  <c r="D84" i="6" s="1"/>
  <c r="S84" i="6" s="1"/>
  <c r="AP88" i="1"/>
  <c r="AU88" i="1" s="1"/>
  <c r="AJ88" i="1"/>
  <c r="AK88" i="1" s="1"/>
  <c r="Q88" i="1"/>
  <c r="AD90" i="1" l="1"/>
  <c r="E85" i="6"/>
  <c r="AB85" i="6" s="1"/>
  <c r="E89" i="6"/>
  <c r="AB89" i="6" s="1"/>
  <c r="E94" i="6"/>
  <c r="AB94" i="6" s="1"/>
  <c r="AD100" i="1"/>
  <c r="E95" i="6"/>
  <c r="AB95" i="6" s="1"/>
  <c r="AD101" i="1"/>
  <c r="E96" i="6"/>
  <c r="AB96" i="6" s="1"/>
  <c r="E97" i="6"/>
  <c r="AB97" i="6" s="1"/>
  <c r="E98" i="6"/>
  <c r="AB98" i="6" s="1"/>
  <c r="AD103" i="1"/>
  <c r="AD88" i="1"/>
  <c r="E83" i="6"/>
  <c r="AB83" i="6" s="1"/>
  <c r="E84" i="6"/>
  <c r="AB84" i="6" s="1"/>
  <c r="AD95" i="1"/>
  <c r="E90" i="6"/>
  <c r="AB90" i="6" s="1"/>
  <c r="R88" i="1"/>
  <c r="G42" i="4" s="1"/>
  <c r="W88" i="1"/>
  <c r="R98" i="1"/>
  <c r="W98" i="1"/>
  <c r="AD96" i="1"/>
  <c r="E91" i="6"/>
  <c r="AB91" i="6" s="1"/>
  <c r="AD97" i="1"/>
  <c r="E92" i="6"/>
  <c r="AB92" i="6" s="1"/>
  <c r="E93" i="6"/>
  <c r="AB93" i="6" s="1"/>
  <c r="Y89" i="1"/>
  <c r="Y101" i="1"/>
  <c r="Y103" i="1"/>
  <c r="AR103" i="1"/>
  <c r="AR102" i="1"/>
  <c r="AR101" i="1"/>
  <c r="AR100" i="1"/>
  <c r="AT100" i="1" s="1"/>
  <c r="AR96" i="1"/>
  <c r="AT96" i="1" s="1"/>
  <c r="AV96" i="1" s="1"/>
  <c r="AR95" i="1"/>
  <c r="AR94" i="1"/>
  <c r="AR88" i="1"/>
  <c r="AR90" i="1"/>
  <c r="AR89" i="1"/>
  <c r="AS89" i="1" s="1"/>
  <c r="AQ101" i="1"/>
  <c r="AY101" i="1" s="1"/>
  <c r="BC101" i="1" s="1"/>
  <c r="AQ102" i="1"/>
  <c r="AY102" i="1" s="1"/>
  <c r="BC102" i="1" s="1"/>
  <c r="AU89" i="1"/>
  <c r="AY89" i="1" s="1"/>
  <c r="BC89" i="1" s="1"/>
  <c r="AQ90" i="1"/>
  <c r="AY90" i="1" s="1"/>
  <c r="BC90" i="1" s="1"/>
  <c r="AU100" i="1"/>
  <c r="AY100" i="1" s="1"/>
  <c r="BC100" i="1" s="1"/>
  <c r="AU96" i="1"/>
  <c r="AY96" i="1" s="1"/>
  <c r="BC96" i="1" s="1"/>
  <c r="AQ97" i="1"/>
  <c r="AY97" i="1" s="1"/>
  <c r="BC97" i="1" s="1"/>
  <c r="AQ94" i="1"/>
  <c r="AY94" i="1" s="1"/>
  <c r="BC94" i="1" s="1"/>
  <c r="AQ98" i="1"/>
  <c r="AY98" i="1" s="1"/>
  <c r="BC98" i="1" s="1"/>
  <c r="AQ88" i="1"/>
  <c r="AY88" i="1" s="1"/>
  <c r="BC88" i="1" s="1"/>
  <c r="AQ95" i="1"/>
  <c r="AY95" i="1" s="1"/>
  <c r="BC95" i="1" s="1"/>
  <c r="AQ99" i="1"/>
  <c r="AY99" i="1" s="1"/>
  <c r="BC99" i="1" s="1"/>
  <c r="AE89" i="1"/>
  <c r="AR97" i="1"/>
  <c r="C92" i="6"/>
  <c r="J92" i="6" s="1"/>
  <c r="AE97" i="1"/>
  <c r="AR99" i="1"/>
  <c r="AE99" i="1"/>
  <c r="AE88" i="1"/>
  <c r="Y90" i="1"/>
  <c r="AE90" i="1"/>
  <c r="Y94" i="1"/>
  <c r="AE94" i="1"/>
  <c r="Y95" i="1"/>
  <c r="AE95" i="1"/>
  <c r="Y96" i="1"/>
  <c r="AE96" i="1"/>
  <c r="AR98" i="1"/>
  <c r="AE98" i="1"/>
  <c r="AQ103" i="1"/>
  <c r="AY103" i="1" s="1"/>
  <c r="BC103" i="1" s="1"/>
  <c r="Y97" i="1"/>
  <c r="Y99" i="1"/>
  <c r="Y100" i="1"/>
  <c r="AE100" i="1"/>
  <c r="AE101" i="1"/>
  <c r="C97" i="6"/>
  <c r="Y102" i="1"/>
  <c r="AE102" i="1"/>
  <c r="AE103" i="1"/>
  <c r="AT101" i="1" l="1"/>
  <c r="AS101" i="1"/>
  <c r="AT89" i="1"/>
  <c r="AV89" i="1" s="1"/>
  <c r="AT102" i="1"/>
  <c r="AV102" i="1" s="1"/>
  <c r="AX102" i="1" s="1"/>
  <c r="AS100" i="1"/>
  <c r="X88" i="1"/>
  <c r="D83" i="6"/>
  <c r="S83" i="6" s="1"/>
  <c r="G46" i="4"/>
  <c r="C93" i="6"/>
  <c r="J93" i="6" s="1"/>
  <c r="AS96" i="1"/>
  <c r="H42" i="4"/>
  <c r="I42" i="4"/>
  <c r="X98" i="1"/>
  <c r="D93" i="6"/>
  <c r="S93" i="6" s="1"/>
  <c r="G48" i="4"/>
  <c r="C96" i="6"/>
  <c r="J96" i="6" s="1"/>
  <c r="G45" i="4"/>
  <c r="I45" i="4" s="1"/>
  <c r="C91" i="6"/>
  <c r="J91" i="6" s="1"/>
  <c r="G47" i="4"/>
  <c r="I47" i="4" s="1"/>
  <c r="C95" i="6"/>
  <c r="J95" i="6" s="1"/>
  <c r="AT90" i="1"/>
  <c r="AV90" i="1" s="1"/>
  <c r="AZ90" i="1" s="1"/>
  <c r="BB90" i="1" s="1"/>
  <c r="S100" i="1"/>
  <c r="S103" i="1"/>
  <c r="C98" i="6"/>
  <c r="J98" i="6" s="1"/>
  <c r="S101" i="1"/>
  <c r="S98" i="1"/>
  <c r="S95" i="1"/>
  <c r="S90" i="1"/>
  <c r="S88" i="1"/>
  <c r="C83" i="6"/>
  <c r="J83" i="6" s="1"/>
  <c r="S99" i="1"/>
  <c r="S102" i="1"/>
  <c r="J97" i="6"/>
  <c r="S96" i="1"/>
  <c r="S94" i="1"/>
  <c r="S89" i="1"/>
  <c r="C84" i="6"/>
  <c r="J84" i="6" s="1"/>
  <c r="S97" i="1"/>
  <c r="AT95" i="1"/>
  <c r="AV95" i="1" s="1"/>
  <c r="AS90" i="1"/>
  <c r="AS102" i="1"/>
  <c r="AT103" i="1"/>
  <c r="AV103" i="1" s="1"/>
  <c r="AX103" i="1" s="1"/>
  <c r="AV100" i="1"/>
  <c r="AZ100" i="1" s="1"/>
  <c r="AS94" i="1"/>
  <c r="AT94" i="1"/>
  <c r="AV94" i="1" s="1"/>
  <c r="AX94" i="1" s="1"/>
  <c r="AS95" i="1"/>
  <c r="AS88" i="1"/>
  <c r="AV101" i="1"/>
  <c r="AZ101" i="1" s="1"/>
  <c r="AT88" i="1"/>
  <c r="AX89" i="1"/>
  <c r="AW89" i="1"/>
  <c r="AZ89" i="1"/>
  <c r="AT98" i="1"/>
  <c r="AS98" i="1"/>
  <c r="AX96" i="1"/>
  <c r="AW96" i="1"/>
  <c r="AW102" i="1"/>
  <c r="AT97" i="1"/>
  <c r="AV97" i="1" s="1"/>
  <c r="AS97" i="1"/>
  <c r="AZ96" i="1"/>
  <c r="AS103" i="1"/>
  <c r="AT99" i="1"/>
  <c r="AV99" i="1" s="1"/>
  <c r="AS99" i="1"/>
  <c r="AZ102" i="1" l="1"/>
  <c r="BB102" i="1" s="1"/>
  <c r="BD90" i="1"/>
  <c r="AZ95" i="1"/>
  <c r="BA95" i="1" s="1"/>
  <c r="AW95" i="1"/>
  <c r="Q46" i="4"/>
  <c r="Y98" i="1"/>
  <c r="H46" i="4"/>
  <c r="I46" i="4"/>
  <c r="AW90" i="1"/>
  <c r="Q42" i="4"/>
  <c r="Y88" i="1"/>
  <c r="H48" i="4"/>
  <c r="I48" i="4"/>
  <c r="AX100" i="1"/>
  <c r="G49" i="4"/>
  <c r="AW103" i="1"/>
  <c r="AX90" i="1"/>
  <c r="BA90" i="1"/>
  <c r="AW100" i="1"/>
  <c r="AZ103" i="1"/>
  <c r="BB103" i="1" s="1"/>
  <c r="AW101" i="1"/>
  <c r="AX101" i="1"/>
  <c r="AZ94" i="1"/>
  <c r="BB94" i="1" s="1"/>
  <c r="AW94" i="1"/>
  <c r="AV98" i="1"/>
  <c r="AZ98" i="1" s="1"/>
  <c r="AX95" i="1"/>
  <c r="AV88" i="1"/>
  <c r="AX99" i="1"/>
  <c r="AW99" i="1"/>
  <c r="AZ99" i="1"/>
  <c r="BD102" i="1"/>
  <c r="BA102" i="1"/>
  <c r="BD89" i="1"/>
  <c r="BB89" i="1"/>
  <c r="BA89" i="1"/>
  <c r="BD100" i="1"/>
  <c r="BB100" i="1"/>
  <c r="BA100" i="1"/>
  <c r="BF90" i="1"/>
  <c r="BE90" i="1"/>
  <c r="BD96" i="1"/>
  <c r="BB96" i="1"/>
  <c r="BA96" i="1"/>
  <c r="AX97" i="1"/>
  <c r="AW97" i="1"/>
  <c r="AZ97" i="1"/>
  <c r="BD101" i="1"/>
  <c r="BB101" i="1"/>
  <c r="BA101" i="1"/>
  <c r="BD95" i="1" l="1"/>
  <c r="BE95" i="1" s="1"/>
  <c r="BB95" i="1"/>
  <c r="BD94" i="1"/>
  <c r="BD103" i="1"/>
  <c r="BE103" i="1" s="1"/>
  <c r="R46" i="4"/>
  <c r="S46" i="4"/>
  <c r="R42" i="4"/>
  <c r="Q49" i="4"/>
  <c r="S42" i="4"/>
  <c r="AW98" i="1"/>
  <c r="BA103" i="1"/>
  <c r="H49" i="4"/>
  <c r="C71" i="4" s="1"/>
  <c r="BA94" i="1"/>
  <c r="AX98" i="1"/>
  <c r="AZ88" i="1"/>
  <c r="AX88" i="1"/>
  <c r="AW88" i="1"/>
  <c r="BF101" i="1"/>
  <c r="BE101" i="1"/>
  <c r="BD98" i="1"/>
  <c r="BB98" i="1"/>
  <c r="BA98" i="1"/>
  <c r="BF96" i="1"/>
  <c r="BE96" i="1"/>
  <c r="BF103" i="1"/>
  <c r="BF102" i="1"/>
  <c r="BE102" i="1"/>
  <c r="BF94" i="1"/>
  <c r="BE94" i="1"/>
  <c r="BD97" i="1"/>
  <c r="BB97" i="1"/>
  <c r="BA97" i="1"/>
  <c r="BF100" i="1"/>
  <c r="BE100" i="1"/>
  <c r="BF89" i="1"/>
  <c r="BE89" i="1"/>
  <c r="BD99" i="1"/>
  <c r="BB99" i="1"/>
  <c r="BA99" i="1"/>
  <c r="BF95" i="1" l="1"/>
  <c r="R49" i="4"/>
  <c r="S49" i="4" s="1"/>
  <c r="E89" i="4" s="1"/>
  <c r="F6" i="5"/>
  <c r="D71" i="4"/>
  <c r="BD88" i="1"/>
  <c r="BB88" i="1"/>
  <c r="BA88" i="1"/>
  <c r="BF97" i="1"/>
  <c r="BE97" i="1"/>
  <c r="BF99" i="1"/>
  <c r="BE99" i="1"/>
  <c r="BF98" i="1"/>
  <c r="BE98" i="1"/>
  <c r="E71" i="4" l="1"/>
  <c r="F6" i="10" s="1"/>
  <c r="G6" i="10"/>
  <c r="F89" i="4"/>
  <c r="BF88" i="1"/>
  <c r="BE88" i="1"/>
  <c r="AK87" i="2"/>
  <c r="AJ87" i="2"/>
  <c r="AI87" i="2"/>
  <c r="AH87" i="2"/>
  <c r="AB87" i="2"/>
  <c r="AC87" i="2" s="1"/>
  <c r="AD87" i="2" s="1"/>
  <c r="R87" i="2"/>
  <c r="AK86" i="2"/>
  <c r="AJ86" i="2"/>
  <c r="AI86" i="2"/>
  <c r="AH86" i="2"/>
  <c r="AB86" i="2"/>
  <c r="AC86" i="2" s="1"/>
  <c r="AD86" i="2" s="1"/>
  <c r="R86" i="2"/>
  <c r="AK85" i="2"/>
  <c r="AJ85" i="2"/>
  <c r="AI85" i="2"/>
  <c r="AH85" i="2"/>
  <c r="AB85" i="2"/>
  <c r="AC85" i="2" s="1"/>
  <c r="AD85" i="2" s="1"/>
  <c r="AK84" i="2"/>
  <c r="AJ84" i="2"/>
  <c r="AI84" i="2"/>
  <c r="AH84" i="2"/>
  <c r="AB84" i="2"/>
  <c r="AC84" i="2" s="1"/>
  <c r="AD84" i="2" s="1"/>
  <c r="AK83" i="2"/>
  <c r="AJ83" i="2"/>
  <c r="AI83" i="2"/>
  <c r="AH83" i="2"/>
  <c r="AB83" i="2"/>
  <c r="AC83" i="2" s="1"/>
  <c r="AD83" i="2" s="1"/>
  <c r="K83" i="2"/>
  <c r="AK82" i="2"/>
  <c r="AJ82" i="2"/>
  <c r="AI82" i="2"/>
  <c r="AH82" i="2"/>
  <c r="AB82" i="2"/>
  <c r="AC82" i="2" s="1"/>
  <c r="AD82" i="2" s="1"/>
  <c r="K82" i="2"/>
  <c r="AK81" i="2"/>
  <c r="AJ81" i="2"/>
  <c r="AI81" i="2"/>
  <c r="AH81" i="2"/>
  <c r="AB81" i="2"/>
  <c r="AC81" i="2" s="1"/>
  <c r="AD81" i="2" s="1"/>
  <c r="K81" i="2"/>
  <c r="AK80" i="2"/>
  <c r="AJ80" i="2"/>
  <c r="AI80" i="2"/>
  <c r="AH80" i="2"/>
  <c r="AB80" i="2"/>
  <c r="AC80" i="2" s="1"/>
  <c r="AD80" i="2" s="1"/>
  <c r="R80" i="2"/>
  <c r="K80" i="2"/>
  <c r="AK79" i="2"/>
  <c r="AJ79" i="2"/>
  <c r="AI79" i="2"/>
  <c r="AH79" i="2"/>
  <c r="AB79" i="2"/>
  <c r="AC79" i="2" s="1"/>
  <c r="AD79" i="2" s="1"/>
  <c r="R79" i="2"/>
  <c r="K79" i="2"/>
  <c r="AK78" i="2"/>
  <c r="AJ78" i="2"/>
  <c r="AI78" i="2"/>
  <c r="AH78" i="2"/>
  <c r="AB78" i="2"/>
  <c r="AC78" i="2" s="1"/>
  <c r="AD78" i="2" s="1"/>
  <c r="R78" i="2"/>
  <c r="K78" i="2"/>
  <c r="AK77" i="2"/>
  <c r="AJ77" i="2"/>
  <c r="AI77" i="2"/>
  <c r="AH77" i="2"/>
  <c r="AB77" i="2"/>
  <c r="AC77" i="2" s="1"/>
  <c r="AD77" i="2" s="1"/>
  <c r="R77" i="2"/>
  <c r="K77" i="2"/>
  <c r="AK76" i="2"/>
  <c r="AJ76" i="2"/>
  <c r="AI76" i="2"/>
  <c r="AH76" i="2"/>
  <c r="AB76" i="2"/>
  <c r="AC76" i="2" s="1"/>
  <c r="AD76" i="2" s="1"/>
  <c r="R76" i="2"/>
  <c r="K76" i="2"/>
  <c r="AK75" i="2"/>
  <c r="AJ75" i="2"/>
  <c r="AI75" i="2"/>
  <c r="AH75" i="2"/>
  <c r="AB75" i="2"/>
  <c r="AC75" i="2" s="1"/>
  <c r="AD75" i="2" s="1"/>
  <c r="R75" i="2"/>
  <c r="K75" i="2"/>
  <c r="AK74" i="2"/>
  <c r="AJ74" i="2"/>
  <c r="AI74" i="2"/>
  <c r="AH74" i="2"/>
  <c r="AB74" i="2"/>
  <c r="AC74" i="2" s="1"/>
  <c r="AD74" i="2" s="1"/>
  <c r="R74" i="2"/>
  <c r="K74" i="2"/>
  <c r="AK73" i="2"/>
  <c r="AJ73" i="2"/>
  <c r="AI73" i="2"/>
  <c r="AH73" i="2"/>
  <c r="AB73" i="2"/>
  <c r="AC73" i="2" s="1"/>
  <c r="AD73" i="2" s="1"/>
  <c r="R73" i="2"/>
  <c r="K73" i="2"/>
  <c r="AK72" i="2"/>
  <c r="AJ72" i="2"/>
  <c r="AI72" i="2"/>
  <c r="AH72" i="2"/>
  <c r="AB72" i="2"/>
  <c r="AC72" i="2" s="1"/>
  <c r="AD72" i="2" s="1"/>
  <c r="R72" i="2"/>
  <c r="K72" i="2"/>
  <c r="AK71" i="2"/>
  <c r="AJ71" i="2"/>
  <c r="AI71" i="2"/>
  <c r="AH71" i="2"/>
  <c r="AB71" i="2"/>
  <c r="AC71" i="2" s="1"/>
  <c r="AD71" i="2" s="1"/>
  <c r="K71" i="2"/>
  <c r="AK70" i="2"/>
  <c r="AJ70" i="2"/>
  <c r="AI70" i="2"/>
  <c r="AH70" i="2"/>
  <c r="AB70" i="2"/>
  <c r="AC70" i="2" s="1"/>
  <c r="AD70" i="2" s="1"/>
  <c r="K70" i="2"/>
  <c r="AK69" i="2"/>
  <c r="AJ69" i="2"/>
  <c r="AI69" i="2"/>
  <c r="AH69" i="2"/>
  <c r="AB69" i="2"/>
  <c r="AC69" i="2" s="1"/>
  <c r="AD69" i="2" s="1"/>
  <c r="K69" i="2"/>
  <c r="AP87" i="1"/>
  <c r="AJ87" i="1"/>
  <c r="AK87" i="1" s="1"/>
  <c r="Q87" i="1"/>
  <c r="AP86" i="1"/>
  <c r="AJ86" i="1"/>
  <c r="AK86" i="1" s="1"/>
  <c r="AC86" i="1"/>
  <c r="Q86" i="1"/>
  <c r="AP85" i="1"/>
  <c r="AJ85" i="1"/>
  <c r="AK85" i="1" s="1"/>
  <c r="AC85" i="1"/>
  <c r="Q85" i="1"/>
  <c r="AP84" i="1"/>
  <c r="AJ84" i="1"/>
  <c r="AK84" i="1" s="1"/>
  <c r="AC84" i="1"/>
  <c r="Q84" i="1"/>
  <c r="AP83" i="1"/>
  <c r="AJ83" i="1"/>
  <c r="AK83" i="1" s="1"/>
  <c r="AC83" i="1"/>
  <c r="Q83" i="1"/>
  <c r="AP82" i="1"/>
  <c r="AJ82" i="1"/>
  <c r="AK82" i="1" s="1"/>
  <c r="AC82" i="1"/>
  <c r="AD82" i="1" s="1"/>
  <c r="Q82" i="1"/>
  <c r="AP81" i="1"/>
  <c r="AJ81" i="1"/>
  <c r="AK81" i="1" s="1"/>
  <c r="AC81" i="1"/>
  <c r="Q81" i="1"/>
  <c r="AP80" i="1"/>
  <c r="AJ80" i="1"/>
  <c r="AK80" i="1" s="1"/>
  <c r="AC80" i="1"/>
  <c r="Q80" i="1"/>
  <c r="W80" i="1" s="1"/>
  <c r="AP79" i="1"/>
  <c r="AJ79" i="1"/>
  <c r="AK79" i="1" s="1"/>
  <c r="AC79" i="1"/>
  <c r="Q79" i="1"/>
  <c r="W79" i="1" s="1"/>
  <c r="AP78" i="1"/>
  <c r="AJ78" i="1"/>
  <c r="AK78" i="1" s="1"/>
  <c r="AC78" i="1"/>
  <c r="Q78" i="1"/>
  <c r="AP77" i="1"/>
  <c r="AJ77" i="1"/>
  <c r="AK77" i="1" s="1"/>
  <c r="AC77" i="1"/>
  <c r="AD77" i="1" s="1"/>
  <c r="Q77" i="1"/>
  <c r="AP76" i="1"/>
  <c r="AU76" i="1" s="1"/>
  <c r="AJ76" i="1"/>
  <c r="AK76" i="1" s="1"/>
  <c r="AC76" i="1"/>
  <c r="Q76" i="1"/>
  <c r="W76" i="1" s="1"/>
  <c r="D71" i="6" s="1"/>
  <c r="S71" i="6" s="1"/>
  <c r="AP75" i="1"/>
  <c r="AU75" i="1" s="1"/>
  <c r="AJ75" i="1"/>
  <c r="AK75" i="1" s="1"/>
  <c r="AC75" i="1"/>
  <c r="Q75" i="1"/>
  <c r="W75" i="1" s="1"/>
  <c r="D70" i="6" s="1"/>
  <c r="S70" i="6" s="1"/>
  <c r="AP74" i="1"/>
  <c r="AQ74" i="1" s="1"/>
  <c r="AJ74" i="1"/>
  <c r="AK74" i="1" s="1"/>
  <c r="AC74" i="1"/>
  <c r="Q74" i="1"/>
  <c r="AP73" i="1"/>
  <c r="AU73" i="1" s="1"/>
  <c r="AK73" i="1"/>
  <c r="AJ73" i="1"/>
  <c r="AC73" i="1"/>
  <c r="Q73" i="1"/>
  <c r="W73" i="1" s="1"/>
  <c r="D68" i="6" s="1"/>
  <c r="S68" i="6" s="1"/>
  <c r="AP72" i="1"/>
  <c r="AU72" i="1" s="1"/>
  <c r="AJ72" i="1"/>
  <c r="AK72" i="1" s="1"/>
  <c r="AC72" i="1"/>
  <c r="Q72" i="1"/>
  <c r="W72" i="1" s="1"/>
  <c r="D67" i="6" s="1"/>
  <c r="S67" i="6" s="1"/>
  <c r="AP71" i="1"/>
  <c r="AU71" i="1" s="1"/>
  <c r="AJ71" i="1"/>
  <c r="AK71" i="1" s="1"/>
  <c r="AC71" i="1"/>
  <c r="Q71" i="1"/>
  <c r="W71" i="1" s="1"/>
  <c r="D66" i="6" s="1"/>
  <c r="S66" i="6" s="1"/>
  <c r="AP70" i="1"/>
  <c r="AQ70" i="1" s="1"/>
  <c r="AJ70" i="1"/>
  <c r="AK70" i="1" s="1"/>
  <c r="AC70" i="1"/>
  <c r="Q70" i="1"/>
  <c r="W70" i="1" s="1"/>
  <c r="D65" i="6" s="1"/>
  <c r="S65" i="6" s="1"/>
  <c r="AP69" i="1"/>
  <c r="AU69" i="1" s="1"/>
  <c r="AJ69" i="1"/>
  <c r="AK69" i="1" s="1"/>
  <c r="AC69" i="1"/>
  <c r="Q69" i="1"/>
  <c r="F71" i="4" l="1"/>
  <c r="W77" i="1"/>
  <c r="X77" i="1" s="1"/>
  <c r="R77" i="1"/>
  <c r="C76" i="6"/>
  <c r="W81" i="1"/>
  <c r="D76" i="6" s="1"/>
  <c r="S76" i="6" s="1"/>
  <c r="E67" i="6"/>
  <c r="AB67" i="6" s="1"/>
  <c r="E68" i="6"/>
  <c r="AB68" i="6" s="1"/>
  <c r="AQ73" i="1"/>
  <c r="E70" i="6"/>
  <c r="AB70" i="6" s="1"/>
  <c r="AR78" i="1"/>
  <c r="R78" i="1"/>
  <c r="W78" i="1"/>
  <c r="X78" i="1" s="1"/>
  <c r="R69" i="1"/>
  <c r="G29" i="4" s="1"/>
  <c r="W69" i="1"/>
  <c r="D64" i="6" s="1"/>
  <c r="S64" i="6" s="1"/>
  <c r="E65" i="6"/>
  <c r="AB65" i="6" s="1"/>
  <c r="R74" i="1"/>
  <c r="W74" i="1"/>
  <c r="D69" i="6" s="1"/>
  <c r="S69" i="6" s="1"/>
  <c r="E71" i="6"/>
  <c r="AB71" i="6" s="1"/>
  <c r="E73" i="6"/>
  <c r="AB73" i="6" s="1"/>
  <c r="E74" i="6"/>
  <c r="AB74" i="6" s="1"/>
  <c r="AD79" i="1"/>
  <c r="E75" i="6"/>
  <c r="AB75" i="6" s="1"/>
  <c r="AR82" i="1"/>
  <c r="W82" i="1"/>
  <c r="Y82" i="1" s="1"/>
  <c r="C78" i="6"/>
  <c r="W83" i="1"/>
  <c r="Y83" i="1" s="1"/>
  <c r="AR84" i="1"/>
  <c r="W84" i="1"/>
  <c r="Y84" i="1" s="1"/>
  <c r="C80" i="6"/>
  <c r="W85" i="1"/>
  <c r="D80" i="6" s="1"/>
  <c r="S80" i="6" s="1"/>
  <c r="AR86" i="1"/>
  <c r="W86" i="1"/>
  <c r="D81" i="6" s="1"/>
  <c r="S81" i="6" s="1"/>
  <c r="C82" i="6"/>
  <c r="W87" i="1"/>
  <c r="Y87" i="1" s="1"/>
  <c r="E64" i="6"/>
  <c r="AB64" i="6" s="1"/>
  <c r="E69" i="6"/>
  <c r="AB69" i="6" s="1"/>
  <c r="AD74" i="1"/>
  <c r="E66" i="6"/>
  <c r="AB66" i="6" s="1"/>
  <c r="E81" i="6"/>
  <c r="AB81" i="6" s="1"/>
  <c r="E82" i="6"/>
  <c r="AB82" i="6" s="1"/>
  <c r="Y72" i="1"/>
  <c r="C74" i="6"/>
  <c r="J74" i="6" s="1"/>
  <c r="AQ69" i="1"/>
  <c r="Y70" i="1"/>
  <c r="AQ71" i="1"/>
  <c r="Y74" i="1"/>
  <c r="AQ75" i="1"/>
  <c r="C73" i="6"/>
  <c r="AR81" i="1"/>
  <c r="C77" i="6"/>
  <c r="J77" i="6" s="1"/>
  <c r="AR83" i="1"/>
  <c r="C79" i="6"/>
  <c r="AR85" i="1"/>
  <c r="C81" i="6"/>
  <c r="J81" i="6" s="1"/>
  <c r="AY69" i="1"/>
  <c r="BC69" i="1" s="1"/>
  <c r="AR70" i="1"/>
  <c r="AT70" i="1" s="1"/>
  <c r="AV70" i="1" s="1"/>
  <c r="AZ70" i="1" s="1"/>
  <c r="AU70" i="1"/>
  <c r="AY70" i="1" s="1"/>
  <c r="BC70" i="1" s="1"/>
  <c r="AY71" i="1"/>
  <c r="BC71" i="1" s="1"/>
  <c r="AR74" i="1"/>
  <c r="AU74" i="1"/>
  <c r="AY74" i="1" s="1"/>
  <c r="BC74" i="1" s="1"/>
  <c r="AR69" i="1"/>
  <c r="AR71" i="1"/>
  <c r="AS71" i="1" s="1"/>
  <c r="AQ72" i="1"/>
  <c r="AY72" i="1" s="1"/>
  <c r="BC72" i="1" s="1"/>
  <c r="AR73" i="1"/>
  <c r="AT73" i="1" s="1"/>
  <c r="AV73" i="1" s="1"/>
  <c r="AR75" i="1"/>
  <c r="AQ76" i="1"/>
  <c r="AY76" i="1" s="1"/>
  <c r="BC76" i="1" s="1"/>
  <c r="AE77" i="1"/>
  <c r="E72" i="6"/>
  <c r="AB72" i="6" s="1"/>
  <c r="S78" i="1"/>
  <c r="J73" i="6"/>
  <c r="Y79" i="1"/>
  <c r="D74" i="6"/>
  <c r="S74" i="6" s="1"/>
  <c r="AR79" i="1"/>
  <c r="C75" i="6"/>
  <c r="J75" i="6" s="1"/>
  <c r="S81" i="1"/>
  <c r="J76" i="6"/>
  <c r="S82" i="1"/>
  <c r="D77" i="6"/>
  <c r="S77" i="6" s="1"/>
  <c r="S83" i="1"/>
  <c r="J78" i="6"/>
  <c r="S84" i="1"/>
  <c r="J79" i="6"/>
  <c r="D79" i="6"/>
  <c r="S79" i="6" s="1"/>
  <c r="S85" i="1"/>
  <c r="J80" i="6"/>
  <c r="S86" i="1"/>
  <c r="Y86" i="1"/>
  <c r="S87" i="1"/>
  <c r="J82" i="6"/>
  <c r="D82" i="6"/>
  <c r="S82" i="6" s="1"/>
  <c r="AR72" i="1"/>
  <c r="AS72" i="1" s="1"/>
  <c r="AY73" i="1"/>
  <c r="BC73" i="1" s="1"/>
  <c r="AY75" i="1"/>
  <c r="BC75" i="1" s="1"/>
  <c r="AR76" i="1"/>
  <c r="AS76" i="1" s="1"/>
  <c r="D72" i="6"/>
  <c r="S72" i="6" s="1"/>
  <c r="Y80" i="1"/>
  <c r="D75" i="6"/>
  <c r="S75" i="6" s="1"/>
  <c r="AR80" i="1"/>
  <c r="AE81" i="1"/>
  <c r="E76" i="6"/>
  <c r="AB76" i="6" s="1"/>
  <c r="AE82" i="1"/>
  <c r="E77" i="6"/>
  <c r="AB77" i="6" s="1"/>
  <c r="AE83" i="1"/>
  <c r="E78" i="6"/>
  <c r="AB78" i="6" s="1"/>
  <c r="AE84" i="1"/>
  <c r="E79" i="6"/>
  <c r="AB79" i="6" s="1"/>
  <c r="AE85" i="1"/>
  <c r="E80" i="6"/>
  <c r="AB80" i="6" s="1"/>
  <c r="AR87" i="1"/>
  <c r="I79" i="4"/>
  <c r="AE86" i="1"/>
  <c r="AE87" i="1"/>
  <c r="AS70" i="1"/>
  <c r="AT72" i="1"/>
  <c r="AV72" i="1" s="1"/>
  <c r="AZ72" i="1" s="1"/>
  <c r="AT69" i="1"/>
  <c r="AT71" i="1"/>
  <c r="AV71" i="1" s="1"/>
  <c r="AS73" i="1"/>
  <c r="AS75" i="1"/>
  <c r="AT74" i="1"/>
  <c r="AS74" i="1"/>
  <c r="AR77" i="1"/>
  <c r="AE78" i="1"/>
  <c r="S79" i="1"/>
  <c r="AE79" i="1"/>
  <c r="S80" i="1"/>
  <c r="AE80" i="1"/>
  <c r="AE69" i="1"/>
  <c r="AE70" i="1"/>
  <c r="Y71" i="1"/>
  <c r="AE71" i="1"/>
  <c r="AE72" i="1"/>
  <c r="Y73" i="1"/>
  <c r="AE73" i="1"/>
  <c r="AE74" i="1"/>
  <c r="Y75" i="1"/>
  <c r="AE75" i="1"/>
  <c r="Y76" i="1"/>
  <c r="AE76" i="1"/>
  <c r="G31" i="4"/>
  <c r="I31" i="4" s="1"/>
  <c r="Y77" i="1"/>
  <c r="AU77" i="1"/>
  <c r="AQ77" i="1"/>
  <c r="Y78" i="1"/>
  <c r="AU78" i="1"/>
  <c r="AQ78" i="1"/>
  <c r="AU79" i="1"/>
  <c r="AQ79" i="1"/>
  <c r="AU80" i="1"/>
  <c r="AQ80" i="1"/>
  <c r="AU81" i="1"/>
  <c r="AQ81" i="1"/>
  <c r="AU82" i="1"/>
  <c r="AQ82" i="1"/>
  <c r="AU83" i="1"/>
  <c r="AQ83" i="1"/>
  <c r="AU84" i="1"/>
  <c r="AQ84" i="1"/>
  <c r="AU85" i="1"/>
  <c r="AQ85" i="1"/>
  <c r="AU86" i="1"/>
  <c r="AQ86" i="1"/>
  <c r="AU87" i="1"/>
  <c r="AQ87" i="1"/>
  <c r="D73" i="6" l="1"/>
  <c r="S73" i="6" s="1"/>
  <c r="Y85" i="1"/>
  <c r="AY87" i="1"/>
  <c r="BC87" i="1" s="1"/>
  <c r="AT75" i="1"/>
  <c r="AV75" i="1" s="1"/>
  <c r="AZ75" i="1" s="1"/>
  <c r="BD75" i="1" s="1"/>
  <c r="AS69" i="1"/>
  <c r="AT76" i="1"/>
  <c r="AV76" i="1" s="1"/>
  <c r="AW76" i="1" s="1"/>
  <c r="H29" i="4"/>
  <c r="I29" i="4"/>
  <c r="Y81" i="1"/>
  <c r="AV69" i="1"/>
  <c r="AW69" i="1" s="1"/>
  <c r="D78" i="6"/>
  <c r="S78" i="6" s="1"/>
  <c r="Y69" i="1"/>
  <c r="AV74" i="1"/>
  <c r="AZ74" i="1" s="1"/>
  <c r="Q31" i="4"/>
  <c r="G37" i="4"/>
  <c r="H31" i="4"/>
  <c r="S77" i="1"/>
  <c r="C72" i="6"/>
  <c r="J72" i="6" s="1"/>
  <c r="S75" i="1"/>
  <c r="C70" i="6"/>
  <c r="J70" i="6" s="1"/>
  <c r="S73" i="1"/>
  <c r="C68" i="6"/>
  <c r="J68" i="6" s="1"/>
  <c r="S71" i="1"/>
  <c r="C66" i="6"/>
  <c r="J66" i="6" s="1"/>
  <c r="S69" i="1"/>
  <c r="C64" i="6"/>
  <c r="J64" i="6" s="1"/>
  <c r="S76" i="1"/>
  <c r="C71" i="6"/>
  <c r="J71" i="6" s="1"/>
  <c r="S74" i="1"/>
  <c r="C69" i="6"/>
  <c r="J69" i="6" s="1"/>
  <c r="S72" i="1"/>
  <c r="C67" i="6"/>
  <c r="J67" i="6" s="1"/>
  <c r="S70" i="1"/>
  <c r="C65" i="6"/>
  <c r="J65" i="6" s="1"/>
  <c r="AY85" i="1"/>
  <c r="BC85" i="1" s="1"/>
  <c r="AY83" i="1"/>
  <c r="BC83" i="1" s="1"/>
  <c r="AY84" i="1"/>
  <c r="BC84" i="1" s="1"/>
  <c r="AY82" i="1"/>
  <c r="BC82" i="1" s="1"/>
  <c r="AY86" i="1"/>
  <c r="BC86" i="1" s="1"/>
  <c r="AX76" i="1"/>
  <c r="AZ76" i="1"/>
  <c r="BD72" i="1"/>
  <c r="BB72" i="1"/>
  <c r="BA72" i="1"/>
  <c r="AX71" i="1"/>
  <c r="AW71" i="1"/>
  <c r="AZ71" i="1"/>
  <c r="BB75" i="1"/>
  <c r="AX73" i="1"/>
  <c r="AW73" i="1"/>
  <c r="AZ73" i="1"/>
  <c r="BD70" i="1"/>
  <c r="BB70" i="1"/>
  <c r="BA70" i="1"/>
  <c r="AX69" i="1"/>
  <c r="AZ69" i="1"/>
  <c r="AT87" i="1"/>
  <c r="AV87" i="1" s="1"/>
  <c r="AT86" i="1"/>
  <c r="AT85" i="1"/>
  <c r="AV85" i="1" s="1"/>
  <c r="AT84" i="1"/>
  <c r="AV84" i="1" s="1"/>
  <c r="AT83" i="1"/>
  <c r="AV83" i="1" s="1"/>
  <c r="AT82" i="1"/>
  <c r="AV82" i="1" s="1"/>
  <c r="AY81" i="1"/>
  <c r="BC81" i="1" s="1"/>
  <c r="AY77" i="1"/>
  <c r="BC77" i="1" s="1"/>
  <c r="AT81" i="1"/>
  <c r="AV81" i="1" s="1"/>
  <c r="AS77" i="1"/>
  <c r="AT77" i="1"/>
  <c r="AV77" i="1" s="1"/>
  <c r="AS87" i="1"/>
  <c r="AS86" i="1"/>
  <c r="AS85" i="1"/>
  <c r="AS84" i="1"/>
  <c r="AS83" i="1"/>
  <c r="AS82" i="1"/>
  <c r="AY80" i="1"/>
  <c r="BC80" i="1" s="1"/>
  <c r="AT80" i="1"/>
  <c r="AV80" i="1" s="1"/>
  <c r="AY79" i="1"/>
  <c r="BC79" i="1" s="1"/>
  <c r="AT79" i="1"/>
  <c r="AV79" i="1" s="1"/>
  <c r="AY78" i="1"/>
  <c r="BC78" i="1" s="1"/>
  <c r="AT78" i="1"/>
  <c r="AV78" i="1" s="1"/>
  <c r="AS81" i="1"/>
  <c r="AS80" i="1"/>
  <c r="AS79" i="1"/>
  <c r="AS78" i="1"/>
  <c r="AX75" i="1"/>
  <c r="AX72" i="1"/>
  <c r="AW72" i="1"/>
  <c r="AX70" i="1"/>
  <c r="AW70" i="1"/>
  <c r="BA75" i="1" l="1"/>
  <c r="AW75" i="1"/>
  <c r="AW74" i="1"/>
  <c r="AX74" i="1"/>
  <c r="R31" i="4"/>
  <c r="R37" i="4" s="1"/>
  <c r="Q37" i="4"/>
  <c r="S31" i="4"/>
  <c r="H37" i="4"/>
  <c r="C70" i="4" s="1"/>
  <c r="AV86" i="1"/>
  <c r="AW86" i="1" s="1"/>
  <c r="AW82" i="1"/>
  <c r="AX82" i="1"/>
  <c r="AZ82" i="1"/>
  <c r="AW84" i="1"/>
  <c r="AX84" i="1"/>
  <c r="AZ84" i="1"/>
  <c r="BD69" i="1"/>
  <c r="BB69" i="1"/>
  <c r="BA69" i="1"/>
  <c r="BD73" i="1"/>
  <c r="BB73" i="1"/>
  <c r="BA73" i="1"/>
  <c r="BF75" i="1"/>
  <c r="BE75" i="1"/>
  <c r="BF72" i="1"/>
  <c r="BE72" i="1"/>
  <c r="AW78" i="1"/>
  <c r="AX78" i="1"/>
  <c r="AZ78" i="1"/>
  <c r="AW79" i="1"/>
  <c r="AX79" i="1"/>
  <c r="AZ79" i="1"/>
  <c r="AW80" i="1"/>
  <c r="AX80" i="1"/>
  <c r="AZ80" i="1"/>
  <c r="AW77" i="1"/>
  <c r="AX77" i="1"/>
  <c r="AZ77" i="1"/>
  <c r="AW81" i="1"/>
  <c r="AX81" i="1"/>
  <c r="AZ81" i="1"/>
  <c r="AW83" i="1"/>
  <c r="AX83" i="1"/>
  <c r="AZ83" i="1"/>
  <c r="AW85" i="1"/>
  <c r="AX85" i="1"/>
  <c r="AZ85" i="1"/>
  <c r="AW87" i="1"/>
  <c r="AX87" i="1"/>
  <c r="AZ87" i="1"/>
  <c r="BF70" i="1"/>
  <c r="BE70" i="1"/>
  <c r="BD74" i="1"/>
  <c r="BB74" i="1"/>
  <c r="BA74" i="1"/>
  <c r="BD71" i="1"/>
  <c r="BB71" i="1"/>
  <c r="BA71" i="1"/>
  <c r="BD76" i="1"/>
  <c r="BB76" i="1"/>
  <c r="BA76" i="1"/>
  <c r="E70" i="4" l="1"/>
  <c r="S37" i="4"/>
  <c r="E88" i="4" s="1"/>
  <c r="D70" i="4"/>
  <c r="F5" i="5"/>
  <c r="I37" i="4"/>
  <c r="C88" i="4" s="1"/>
  <c r="AX86" i="1"/>
  <c r="AZ86" i="1"/>
  <c r="BF76" i="1"/>
  <c r="BE76" i="1"/>
  <c r="BF74" i="1"/>
  <c r="BE74" i="1"/>
  <c r="BA85" i="1"/>
  <c r="BB85" i="1"/>
  <c r="BD85" i="1"/>
  <c r="BA81" i="1"/>
  <c r="BB81" i="1"/>
  <c r="BD81" i="1"/>
  <c r="BA80" i="1"/>
  <c r="BB80" i="1"/>
  <c r="BD80" i="1"/>
  <c r="BA78" i="1"/>
  <c r="BB78" i="1"/>
  <c r="BD78" i="1"/>
  <c r="BF69" i="1"/>
  <c r="BE69" i="1"/>
  <c r="BA84" i="1"/>
  <c r="BB84" i="1"/>
  <c r="BD84" i="1"/>
  <c r="BF71" i="1"/>
  <c r="BE71" i="1"/>
  <c r="BA87" i="1"/>
  <c r="BB87" i="1"/>
  <c r="BD87" i="1"/>
  <c r="BA83" i="1"/>
  <c r="BB83" i="1"/>
  <c r="BD83" i="1"/>
  <c r="BA77" i="1"/>
  <c r="BB77" i="1"/>
  <c r="BD77" i="1"/>
  <c r="BA79" i="1"/>
  <c r="BB79" i="1"/>
  <c r="BD79" i="1"/>
  <c r="BF73" i="1"/>
  <c r="BE73" i="1"/>
  <c r="BA86" i="1"/>
  <c r="BB86" i="1"/>
  <c r="BD86" i="1"/>
  <c r="BA82" i="1"/>
  <c r="BB82" i="1"/>
  <c r="BD82" i="1"/>
  <c r="G5" i="10" l="1"/>
  <c r="F88" i="4"/>
  <c r="D88" i="4"/>
  <c r="G5" i="5"/>
  <c r="F5" i="10"/>
  <c r="F70" i="4"/>
  <c r="BE82" i="1"/>
  <c r="BF82" i="1"/>
  <c r="BE86" i="1"/>
  <c r="BF86" i="1"/>
  <c r="BE77" i="1"/>
  <c r="BF77" i="1"/>
  <c r="BE87" i="1"/>
  <c r="BF87" i="1"/>
  <c r="BE78" i="1"/>
  <c r="BF78" i="1"/>
  <c r="BE81" i="1"/>
  <c r="BF81" i="1"/>
  <c r="BE79" i="1"/>
  <c r="BF79" i="1"/>
  <c r="BE83" i="1"/>
  <c r="BF83" i="1"/>
  <c r="BE84" i="1"/>
  <c r="BF84" i="1"/>
  <c r="BE80" i="1"/>
  <c r="BF80" i="1"/>
  <c r="BE85" i="1"/>
  <c r="BF85" i="1"/>
  <c r="AP68" i="1" l="1"/>
  <c r="AU68" i="1" s="1"/>
  <c r="AJ68" i="1"/>
  <c r="AK68" i="1" s="1"/>
  <c r="AC68" i="1"/>
  <c r="Q68" i="1"/>
  <c r="W68" i="1" s="1"/>
  <c r="D63" i="6" s="1"/>
  <c r="S63" i="6" s="1"/>
  <c r="AP67" i="1"/>
  <c r="AU67" i="1" s="1"/>
  <c r="AJ67" i="1"/>
  <c r="AK67" i="1" s="1"/>
  <c r="AC67" i="1"/>
  <c r="Q67" i="1"/>
  <c r="AP66" i="1"/>
  <c r="AU66" i="1" s="1"/>
  <c r="AJ66" i="1"/>
  <c r="AK66" i="1" s="1"/>
  <c r="AC66" i="1"/>
  <c r="Q66" i="1"/>
  <c r="W66" i="1" s="1"/>
  <c r="D61" i="6" s="1"/>
  <c r="S61" i="6" s="1"/>
  <c r="AP62" i="1"/>
  <c r="AU62" i="1" s="1"/>
  <c r="AJ62" i="1"/>
  <c r="AK62" i="1" s="1"/>
  <c r="AC62" i="1"/>
  <c r="Q62" i="1"/>
  <c r="AP61" i="1"/>
  <c r="AU61" i="1" s="1"/>
  <c r="AJ61" i="1"/>
  <c r="AK61" i="1" s="1"/>
  <c r="AC61" i="1"/>
  <c r="Q61" i="1"/>
  <c r="AP60" i="1"/>
  <c r="AU60" i="1" s="1"/>
  <c r="AJ60" i="1"/>
  <c r="AK60" i="1" s="1"/>
  <c r="AC60" i="1"/>
  <c r="Q60" i="1"/>
  <c r="W60" i="1" s="1"/>
  <c r="D58" i="6" s="1"/>
  <c r="S58" i="6" s="1"/>
  <c r="AP59" i="1"/>
  <c r="AU59" i="1" s="1"/>
  <c r="AJ59" i="1"/>
  <c r="AK59" i="1" s="1"/>
  <c r="AC59" i="1"/>
  <c r="Q59" i="1"/>
  <c r="AP58" i="1"/>
  <c r="AJ58" i="1"/>
  <c r="AK58" i="1" s="1"/>
  <c r="AC58" i="1"/>
  <c r="Q58" i="1"/>
  <c r="W58" i="1" s="1"/>
  <c r="D56" i="6" s="1"/>
  <c r="S56" i="6" s="1"/>
  <c r="AP57" i="1"/>
  <c r="AJ57" i="1"/>
  <c r="AK57" i="1" s="1"/>
  <c r="AC57" i="1"/>
  <c r="Q57" i="1"/>
  <c r="W57" i="1" s="1"/>
  <c r="X57" i="1" s="1"/>
  <c r="Q20" i="4" s="1"/>
  <c r="AP56" i="1"/>
  <c r="AJ56" i="1"/>
  <c r="AK56" i="1" s="1"/>
  <c r="AC56" i="1"/>
  <c r="Q56" i="1"/>
  <c r="AP55" i="1"/>
  <c r="AJ55" i="1"/>
  <c r="AK55" i="1" s="1"/>
  <c r="AC55" i="1"/>
  <c r="Q55" i="1"/>
  <c r="W55" i="1" s="1"/>
  <c r="AP54" i="1"/>
  <c r="AJ54" i="1"/>
  <c r="AK54" i="1" s="1"/>
  <c r="AC54" i="1"/>
  <c r="Q54" i="1"/>
  <c r="AP53" i="1"/>
  <c r="AJ53" i="1"/>
  <c r="AK53" i="1" s="1"/>
  <c r="AC53" i="1"/>
  <c r="AR53" i="1"/>
  <c r="AP51" i="1"/>
  <c r="AJ51" i="1"/>
  <c r="AK51" i="1" s="1"/>
  <c r="AC51" i="1"/>
  <c r="AD51" i="1" s="1"/>
  <c r="Q51" i="1"/>
  <c r="AP50" i="1"/>
  <c r="AJ50" i="1"/>
  <c r="AK50" i="1" s="1"/>
  <c r="AC50" i="1"/>
  <c r="Q50" i="1"/>
  <c r="AP49" i="1"/>
  <c r="AJ49" i="1"/>
  <c r="AK49" i="1" s="1"/>
  <c r="AC49" i="1"/>
  <c r="AD49" i="1" s="1"/>
  <c r="Q49" i="1"/>
  <c r="AP48" i="1"/>
  <c r="AJ48" i="1"/>
  <c r="AK48" i="1" s="1"/>
  <c r="AC48" i="1"/>
  <c r="AD48" i="1" s="1"/>
  <c r="Q48" i="1"/>
  <c r="AP47" i="1"/>
  <c r="AJ47" i="1"/>
  <c r="AK47" i="1" s="1"/>
  <c r="AC47" i="1"/>
  <c r="AD47" i="1" s="1"/>
  <c r="Q47" i="1"/>
  <c r="AP46" i="1"/>
  <c r="AU46" i="1" s="1"/>
  <c r="AJ46" i="1"/>
  <c r="AK46" i="1" s="1"/>
  <c r="AC46" i="1"/>
  <c r="Q46" i="1"/>
  <c r="AP45" i="1"/>
  <c r="AU45" i="1" s="1"/>
  <c r="AJ45" i="1"/>
  <c r="AK45" i="1" s="1"/>
  <c r="AC45" i="1"/>
  <c r="AD45" i="1" s="1"/>
  <c r="Q45" i="1"/>
  <c r="AP44" i="1"/>
  <c r="AU44" i="1" s="1"/>
  <c r="AJ44" i="1"/>
  <c r="AK44" i="1" s="1"/>
  <c r="AC44" i="1"/>
  <c r="Q44" i="1"/>
  <c r="AP43" i="1"/>
  <c r="AU43" i="1" s="1"/>
  <c r="AJ43" i="1"/>
  <c r="AK43" i="1" s="1"/>
  <c r="AC43" i="1"/>
  <c r="AR43" i="1"/>
  <c r="AP42" i="1"/>
  <c r="AU42" i="1" s="1"/>
  <c r="AJ42" i="1"/>
  <c r="AK42" i="1" s="1"/>
  <c r="AC42" i="1"/>
  <c r="Q42" i="1"/>
  <c r="AP41" i="1"/>
  <c r="AU41" i="1" s="1"/>
  <c r="AJ41" i="1"/>
  <c r="AK41" i="1" s="1"/>
  <c r="AC41" i="1"/>
  <c r="Q41" i="1"/>
  <c r="AP39" i="1"/>
  <c r="AU39" i="1" s="1"/>
  <c r="AJ39" i="1"/>
  <c r="AK39" i="1" s="1"/>
  <c r="AC39" i="1"/>
  <c r="AD39" i="1" s="1"/>
  <c r="Q39" i="1"/>
  <c r="AP38" i="1"/>
  <c r="AJ38" i="1"/>
  <c r="AK38" i="1" s="1"/>
  <c r="AC38" i="1"/>
  <c r="AD38" i="1" s="1"/>
  <c r="Q38" i="1"/>
  <c r="AP37" i="1"/>
  <c r="AJ37" i="1"/>
  <c r="AK37" i="1" s="1"/>
  <c r="AC37" i="1"/>
  <c r="AD37" i="1" s="1"/>
  <c r="Q37" i="1"/>
  <c r="AP36" i="1"/>
  <c r="AJ36" i="1"/>
  <c r="AK36" i="1" s="1"/>
  <c r="AC36" i="1"/>
  <c r="Q36" i="1"/>
  <c r="AP35" i="1"/>
  <c r="AJ35" i="1"/>
  <c r="AK35" i="1" s="1"/>
  <c r="AC35" i="1"/>
  <c r="Q35" i="1"/>
  <c r="AP34" i="1"/>
  <c r="AJ34" i="1"/>
  <c r="AK34" i="1" s="1"/>
  <c r="AC34" i="1"/>
  <c r="Q34" i="1"/>
  <c r="K65" i="2"/>
  <c r="K64" i="2"/>
  <c r="K63" i="2"/>
  <c r="K62" i="2"/>
  <c r="K61" i="2"/>
  <c r="K60" i="2"/>
  <c r="K59" i="2"/>
  <c r="K58" i="2"/>
  <c r="K57" i="2"/>
  <c r="K56" i="2"/>
  <c r="K55" i="2"/>
  <c r="K48" i="2"/>
  <c r="K47" i="2"/>
  <c r="K46" i="2"/>
  <c r="K45" i="2"/>
  <c r="K44" i="2"/>
  <c r="K43" i="2"/>
  <c r="K42" i="2"/>
  <c r="AE41" i="1" l="1"/>
  <c r="AR50" i="1"/>
  <c r="R50" i="1"/>
  <c r="C49" i="6" s="1"/>
  <c r="W50" i="1"/>
  <c r="E52" i="6"/>
  <c r="AB52" i="6" s="1"/>
  <c r="AD54" i="1"/>
  <c r="E53" i="6"/>
  <c r="AB53" i="6" s="1"/>
  <c r="E54" i="6"/>
  <c r="AB54" i="6" s="1"/>
  <c r="AD56" i="1"/>
  <c r="E55" i="6"/>
  <c r="AB55" i="6" s="1"/>
  <c r="R59" i="1"/>
  <c r="G21" i="4" s="1"/>
  <c r="H21" i="4" s="1"/>
  <c r="W59" i="1"/>
  <c r="D57" i="6" s="1"/>
  <c r="S57" i="6" s="1"/>
  <c r="E59" i="6"/>
  <c r="AB59" i="6" s="1"/>
  <c r="E63" i="6"/>
  <c r="AB63" i="6" s="1"/>
  <c r="AR51" i="1"/>
  <c r="R51" i="1"/>
  <c r="W51" i="1"/>
  <c r="X51" i="1" s="1"/>
  <c r="R54" i="1"/>
  <c r="G18" i="4" s="1"/>
  <c r="H18" i="4" s="1"/>
  <c r="W54" i="1"/>
  <c r="X54" i="1" s="1"/>
  <c r="Q18" i="4" s="1"/>
  <c r="R56" i="1"/>
  <c r="G19" i="4" s="1"/>
  <c r="H19" i="4" s="1"/>
  <c r="W56" i="1"/>
  <c r="X56" i="1" s="1"/>
  <c r="Q19" i="4" s="1"/>
  <c r="E58" i="6"/>
  <c r="AB58" i="6" s="1"/>
  <c r="R62" i="1"/>
  <c r="W62" i="1"/>
  <c r="E62" i="6"/>
  <c r="AB62" i="6" s="1"/>
  <c r="E56" i="6"/>
  <c r="AB56" i="6" s="1"/>
  <c r="AD58" i="1"/>
  <c r="E60" i="6"/>
  <c r="AB60" i="6" s="1"/>
  <c r="R67" i="1"/>
  <c r="G23" i="4" s="1"/>
  <c r="H23" i="4" s="1"/>
  <c r="W67" i="1"/>
  <c r="R20" i="4"/>
  <c r="S20" i="4"/>
  <c r="AR34" i="1"/>
  <c r="Y34" i="1"/>
  <c r="AR35" i="1"/>
  <c r="W35" i="1"/>
  <c r="Y35" i="1" s="1"/>
  <c r="AR36" i="1"/>
  <c r="W36" i="1"/>
  <c r="Y36" i="1" s="1"/>
  <c r="AR37" i="1"/>
  <c r="W37" i="1"/>
  <c r="AR38" i="1"/>
  <c r="R38" i="1"/>
  <c r="C38" i="6" s="1"/>
  <c r="W38" i="1"/>
  <c r="X38" i="1" s="1"/>
  <c r="AR39" i="1"/>
  <c r="W39" i="1"/>
  <c r="X39" i="1" s="1"/>
  <c r="R41" i="1"/>
  <c r="W41" i="1"/>
  <c r="AR42" i="1"/>
  <c r="W42" i="1"/>
  <c r="Y42" i="1" s="1"/>
  <c r="AR44" i="1"/>
  <c r="W44" i="1"/>
  <c r="AR45" i="1"/>
  <c r="R45" i="1"/>
  <c r="W45" i="1"/>
  <c r="X45" i="1" s="1"/>
  <c r="Q16" i="4" s="1"/>
  <c r="AR46" i="1"/>
  <c r="W46" i="1"/>
  <c r="AR47" i="1"/>
  <c r="W47" i="1"/>
  <c r="Y47" i="1" s="1"/>
  <c r="AR48" i="1"/>
  <c r="R48" i="1"/>
  <c r="S48" i="1" s="1"/>
  <c r="W48" i="1"/>
  <c r="X48" i="1" s="1"/>
  <c r="AR49" i="1"/>
  <c r="R49" i="1"/>
  <c r="W49" i="1"/>
  <c r="E57" i="6"/>
  <c r="AB57" i="6" s="1"/>
  <c r="AD59" i="1"/>
  <c r="R61" i="1"/>
  <c r="G22" i="4" s="1"/>
  <c r="H22" i="4" s="1"/>
  <c r="W61" i="1"/>
  <c r="D59" i="6" s="1"/>
  <c r="S59" i="6" s="1"/>
  <c r="E61" i="6"/>
  <c r="AB61" i="6" s="1"/>
  <c r="C53" i="6"/>
  <c r="J53" i="6" s="1"/>
  <c r="AR41" i="1"/>
  <c r="S54" i="1"/>
  <c r="C54" i="6"/>
  <c r="J54" i="6" s="1"/>
  <c r="S58" i="1"/>
  <c r="C56" i="6"/>
  <c r="C58" i="6"/>
  <c r="J58" i="6" s="1"/>
  <c r="C39" i="6"/>
  <c r="C43" i="6"/>
  <c r="C35" i="6"/>
  <c r="C41" i="6"/>
  <c r="C45" i="6"/>
  <c r="C48" i="6"/>
  <c r="C37" i="6"/>
  <c r="Y37" i="1"/>
  <c r="C42" i="6"/>
  <c r="C46" i="6"/>
  <c r="C50" i="6"/>
  <c r="AQ60" i="1"/>
  <c r="AY60" i="1" s="1"/>
  <c r="BC60" i="1" s="1"/>
  <c r="AQ67" i="1"/>
  <c r="AY67" i="1" s="1"/>
  <c r="BC67" i="1" s="1"/>
  <c r="AQ62" i="1"/>
  <c r="AY62" i="1" s="1"/>
  <c r="BC62" i="1" s="1"/>
  <c r="C34" i="6"/>
  <c r="C36" i="6"/>
  <c r="Y38" i="1"/>
  <c r="S39" i="1"/>
  <c r="S43" i="1"/>
  <c r="S44" i="1"/>
  <c r="S46" i="1"/>
  <c r="C47" i="6"/>
  <c r="Y50" i="1"/>
  <c r="Y53" i="1"/>
  <c r="Y54" i="1"/>
  <c r="AR54" i="1"/>
  <c r="AR56" i="1"/>
  <c r="C55" i="6"/>
  <c r="J55" i="6" s="1"/>
  <c r="AR58" i="1"/>
  <c r="J56" i="6"/>
  <c r="AQ59" i="1"/>
  <c r="AY59" i="1" s="1"/>
  <c r="BC59" i="1" s="1"/>
  <c r="AQ61" i="1"/>
  <c r="AY61" i="1" s="1"/>
  <c r="BC61" i="1" s="1"/>
  <c r="AQ66" i="1"/>
  <c r="AY66" i="1" s="1"/>
  <c r="BC66" i="1" s="1"/>
  <c r="AQ68" i="1"/>
  <c r="AY68" i="1" s="1"/>
  <c r="BC68" i="1" s="1"/>
  <c r="AE39" i="1"/>
  <c r="AE42" i="1"/>
  <c r="AE43" i="1"/>
  <c r="AE44" i="1"/>
  <c r="AE45" i="1"/>
  <c r="Y55" i="1"/>
  <c r="D53" i="6"/>
  <c r="S53" i="6" s="1"/>
  <c r="AR55" i="1"/>
  <c r="Y57" i="1"/>
  <c r="D55" i="6"/>
  <c r="S55" i="6" s="1"/>
  <c r="AR57" i="1"/>
  <c r="AU34" i="1"/>
  <c r="AQ34" i="1"/>
  <c r="AS34" i="1" s="1"/>
  <c r="AU35" i="1"/>
  <c r="AQ35" i="1"/>
  <c r="AS35" i="1" s="1"/>
  <c r="AU36" i="1"/>
  <c r="AQ36" i="1"/>
  <c r="AS36" i="1" s="1"/>
  <c r="AU37" i="1"/>
  <c r="AQ37" i="1"/>
  <c r="AS37" i="1" s="1"/>
  <c r="AU38" i="1"/>
  <c r="AQ38" i="1"/>
  <c r="AS38" i="1" s="1"/>
  <c r="S34" i="1"/>
  <c r="AE34" i="1"/>
  <c r="S35" i="1"/>
  <c r="AE35" i="1"/>
  <c r="S36" i="1"/>
  <c r="AE36" i="1"/>
  <c r="S37" i="1"/>
  <c r="AE37" i="1"/>
  <c r="AE38" i="1"/>
  <c r="Y39" i="1"/>
  <c r="Y41" i="1"/>
  <c r="Y43" i="1"/>
  <c r="Y44" i="1"/>
  <c r="AU47" i="1"/>
  <c r="AQ47" i="1"/>
  <c r="AU48" i="1"/>
  <c r="AQ48" i="1"/>
  <c r="AS48" i="1" s="1"/>
  <c r="AU49" i="1"/>
  <c r="AQ49" i="1"/>
  <c r="AU50" i="1"/>
  <c r="AQ50" i="1"/>
  <c r="AS50" i="1" s="1"/>
  <c r="AU51" i="1"/>
  <c r="AQ51" i="1"/>
  <c r="AU53" i="1"/>
  <c r="AQ53" i="1"/>
  <c r="AS53" i="1" s="1"/>
  <c r="AU54" i="1"/>
  <c r="AQ54" i="1"/>
  <c r="AS54" i="1" s="1"/>
  <c r="AU55" i="1"/>
  <c r="AQ55" i="1"/>
  <c r="AU56" i="1"/>
  <c r="AQ56" i="1"/>
  <c r="AU57" i="1"/>
  <c r="AQ57" i="1"/>
  <c r="AU58" i="1"/>
  <c r="AQ58" i="1"/>
  <c r="AT58" i="1" s="1"/>
  <c r="AV58" i="1" s="1"/>
  <c r="AR60" i="1"/>
  <c r="AR62" i="1"/>
  <c r="AR67" i="1"/>
  <c r="AQ39" i="1"/>
  <c r="AY39" i="1" s="1"/>
  <c r="BC39" i="1" s="1"/>
  <c r="AQ41" i="1"/>
  <c r="AY41" i="1" s="1"/>
  <c r="BC41" i="1" s="1"/>
  <c r="AQ42" i="1"/>
  <c r="AY42" i="1" s="1"/>
  <c r="BC42" i="1" s="1"/>
  <c r="AQ43" i="1"/>
  <c r="AY43" i="1" s="1"/>
  <c r="BC43" i="1" s="1"/>
  <c r="AQ44" i="1"/>
  <c r="AY44" i="1" s="1"/>
  <c r="BC44" i="1" s="1"/>
  <c r="AQ45" i="1"/>
  <c r="AY45" i="1" s="1"/>
  <c r="BC45" i="1" s="1"/>
  <c r="Y46" i="1"/>
  <c r="AE46" i="1"/>
  <c r="AQ46" i="1"/>
  <c r="AY46" i="1" s="1"/>
  <c r="BC46" i="1" s="1"/>
  <c r="S47" i="1"/>
  <c r="AE47" i="1"/>
  <c r="AE48" i="1"/>
  <c r="S49" i="1"/>
  <c r="AE49" i="1"/>
  <c r="S50" i="1"/>
  <c r="AE50" i="1"/>
  <c r="S51" i="1"/>
  <c r="AE51" i="1"/>
  <c r="AS51" i="1"/>
  <c r="AE53" i="1"/>
  <c r="AE54" i="1"/>
  <c r="AE55" i="1"/>
  <c r="AE56" i="1"/>
  <c r="S57" i="1"/>
  <c r="AE57" i="1"/>
  <c r="Y58" i="1"/>
  <c r="AE60" i="1"/>
  <c r="AE62" i="1"/>
  <c r="AE67" i="1"/>
  <c r="AE58" i="1"/>
  <c r="AR59" i="1"/>
  <c r="AE59" i="1"/>
  <c r="AR61" i="1"/>
  <c r="AE61" i="1"/>
  <c r="AR66" i="1"/>
  <c r="AR68" i="1"/>
  <c r="AE68" i="1"/>
  <c r="Y59" i="1"/>
  <c r="Y60" i="1"/>
  <c r="Y61" i="1"/>
  <c r="Y66" i="1"/>
  <c r="Y68" i="1"/>
  <c r="AS57" i="1" l="1"/>
  <c r="D52" i="6"/>
  <c r="S52" i="6" s="1"/>
  <c r="G16" i="4"/>
  <c r="H16" i="4" s="1"/>
  <c r="G17" i="4"/>
  <c r="H17" i="4" s="1"/>
  <c r="Y45" i="1"/>
  <c r="Y48" i="1"/>
  <c r="C44" i="6"/>
  <c r="Y51" i="1"/>
  <c r="AS49" i="1"/>
  <c r="G15" i="4"/>
  <c r="G24" i="4" s="1"/>
  <c r="C59" i="6"/>
  <c r="J59" i="6" s="1"/>
  <c r="AS47" i="1"/>
  <c r="AS55" i="1"/>
  <c r="AS56" i="1"/>
  <c r="R16" i="4"/>
  <c r="S16" i="4"/>
  <c r="R19" i="4"/>
  <c r="S19" i="4"/>
  <c r="D54" i="6"/>
  <c r="S54" i="6" s="1"/>
  <c r="Y56" i="1"/>
  <c r="X49" i="1"/>
  <c r="Q17" i="4" s="1"/>
  <c r="R18" i="4"/>
  <c r="S18" i="4"/>
  <c r="H15" i="4"/>
  <c r="H24" i="4" s="1"/>
  <c r="C69" i="4" s="1"/>
  <c r="X67" i="1"/>
  <c r="D62" i="6"/>
  <c r="S62" i="6" s="1"/>
  <c r="X62" i="1"/>
  <c r="D60" i="6"/>
  <c r="S60" i="6" s="1"/>
  <c r="C57" i="6"/>
  <c r="J57" i="6" s="1"/>
  <c r="S38" i="1"/>
  <c r="S45" i="1"/>
  <c r="S61" i="1"/>
  <c r="S55" i="1"/>
  <c r="S66" i="1"/>
  <c r="C61" i="6"/>
  <c r="J61" i="6" s="1"/>
  <c r="S68" i="1"/>
  <c r="C63" i="6"/>
  <c r="J63" i="6" s="1"/>
  <c r="S67" i="1"/>
  <c r="C62" i="6"/>
  <c r="J62" i="6" s="1"/>
  <c r="S62" i="1"/>
  <c r="C60" i="6"/>
  <c r="J60" i="6" s="1"/>
  <c r="S42" i="1"/>
  <c r="S60" i="1"/>
  <c r="S56" i="1"/>
  <c r="C52" i="6"/>
  <c r="J52" i="6" s="1"/>
  <c r="S41" i="1"/>
  <c r="C40" i="6"/>
  <c r="S59" i="1"/>
  <c r="AS42" i="1"/>
  <c r="AS44" i="1"/>
  <c r="AS39" i="1"/>
  <c r="AX58" i="1"/>
  <c r="AW58" i="1"/>
  <c r="AZ58" i="1"/>
  <c r="AT66" i="1"/>
  <c r="AV66" i="1" s="1"/>
  <c r="AS66" i="1"/>
  <c r="AT59" i="1"/>
  <c r="AV59" i="1" s="1"/>
  <c r="AS59" i="1"/>
  <c r="AT67" i="1"/>
  <c r="AV67" i="1" s="1"/>
  <c r="AS67" i="1"/>
  <c r="AT60" i="1"/>
  <c r="AV60" i="1" s="1"/>
  <c r="AS60" i="1"/>
  <c r="AT45" i="1"/>
  <c r="AV45" i="1" s="1"/>
  <c r="AT43" i="1"/>
  <c r="AV43" i="1" s="1"/>
  <c r="AT41" i="1"/>
  <c r="AV41" i="1" s="1"/>
  <c r="AY38" i="1"/>
  <c r="BC38" i="1" s="1"/>
  <c r="AT38" i="1"/>
  <c r="AV38" i="1" s="1"/>
  <c r="AY37" i="1"/>
  <c r="BC37" i="1" s="1"/>
  <c r="AT37" i="1"/>
  <c r="AV37" i="1" s="1"/>
  <c r="AY36" i="1"/>
  <c r="BC36" i="1" s="1"/>
  <c r="AT36" i="1"/>
  <c r="AV36" i="1" s="1"/>
  <c r="AY35" i="1"/>
  <c r="BC35" i="1" s="1"/>
  <c r="AT35" i="1"/>
  <c r="AV35" i="1" s="1"/>
  <c r="AY34" i="1"/>
  <c r="BC34" i="1" s="1"/>
  <c r="AT34" i="1"/>
  <c r="AV34" i="1" s="1"/>
  <c r="AT68" i="1"/>
  <c r="AV68" i="1" s="1"/>
  <c r="AS68" i="1"/>
  <c r="AT61" i="1"/>
  <c r="AV61" i="1" s="1"/>
  <c r="AS61" i="1"/>
  <c r="AT62" i="1"/>
  <c r="AV62" i="1" s="1"/>
  <c r="AS62" i="1"/>
  <c r="AY58" i="1"/>
  <c r="BC58" i="1" s="1"/>
  <c r="AS58" i="1"/>
  <c r="AY57" i="1"/>
  <c r="BC57" i="1" s="1"/>
  <c r="AT57" i="1"/>
  <c r="AV57" i="1" s="1"/>
  <c r="AY56" i="1"/>
  <c r="BC56" i="1" s="1"/>
  <c r="AT56" i="1"/>
  <c r="AV56" i="1" s="1"/>
  <c r="AY55" i="1"/>
  <c r="BC55" i="1" s="1"/>
  <c r="AT55" i="1"/>
  <c r="AV55" i="1" s="1"/>
  <c r="AY54" i="1"/>
  <c r="BC54" i="1" s="1"/>
  <c r="AT54" i="1"/>
  <c r="AV54" i="1" s="1"/>
  <c r="AY53" i="1"/>
  <c r="BC53" i="1" s="1"/>
  <c r="AT53" i="1"/>
  <c r="AV53" i="1" s="1"/>
  <c r="AY51" i="1"/>
  <c r="BC51" i="1" s="1"/>
  <c r="AT51" i="1"/>
  <c r="AV51" i="1" s="1"/>
  <c r="AY50" i="1"/>
  <c r="BC50" i="1" s="1"/>
  <c r="AT50" i="1"/>
  <c r="AV50" i="1" s="1"/>
  <c r="AY49" i="1"/>
  <c r="BC49" i="1" s="1"/>
  <c r="AT49" i="1"/>
  <c r="AV49" i="1" s="1"/>
  <c r="AY48" i="1"/>
  <c r="BC48" i="1" s="1"/>
  <c r="AT48" i="1"/>
  <c r="AV48" i="1" s="1"/>
  <c r="AY47" i="1"/>
  <c r="BC47" i="1" s="1"/>
  <c r="AT47" i="1"/>
  <c r="AV47" i="1" s="1"/>
  <c r="AT46" i="1"/>
  <c r="AV46" i="1" s="1"/>
  <c r="AT44" i="1"/>
  <c r="AV44" i="1" s="1"/>
  <c r="AT42" i="1"/>
  <c r="AV42" i="1" s="1"/>
  <c r="AT39" i="1"/>
  <c r="AV39" i="1" s="1"/>
  <c r="AS46" i="1"/>
  <c r="AS45" i="1"/>
  <c r="AS43" i="1"/>
  <c r="AS41" i="1"/>
  <c r="D69" i="4" l="1"/>
  <c r="F4" i="5"/>
  <c r="R15" i="4"/>
  <c r="S15" i="4"/>
  <c r="R17" i="4"/>
  <c r="S17" i="4"/>
  <c r="Q23" i="4"/>
  <c r="Q24" i="4" s="1"/>
  <c r="Y67" i="1"/>
  <c r="R22" i="4"/>
  <c r="S22" i="4"/>
  <c r="Y49" i="1"/>
  <c r="Y62" i="1"/>
  <c r="AW39" i="1"/>
  <c r="AZ39" i="1"/>
  <c r="AX39" i="1"/>
  <c r="AW44" i="1"/>
  <c r="AZ44" i="1"/>
  <c r="AX44" i="1"/>
  <c r="AW47" i="1"/>
  <c r="AZ47" i="1"/>
  <c r="AX47" i="1"/>
  <c r="AW48" i="1"/>
  <c r="AZ48" i="1"/>
  <c r="AX48" i="1"/>
  <c r="AW49" i="1"/>
  <c r="AZ49" i="1"/>
  <c r="AX49" i="1"/>
  <c r="AW50" i="1"/>
  <c r="AZ50" i="1"/>
  <c r="AX50" i="1"/>
  <c r="AW51" i="1"/>
  <c r="AZ51" i="1"/>
  <c r="AX51" i="1"/>
  <c r="AW53" i="1"/>
  <c r="AZ53" i="1"/>
  <c r="AX53" i="1"/>
  <c r="AW54" i="1"/>
  <c r="AZ54" i="1"/>
  <c r="AX54" i="1"/>
  <c r="AW55" i="1"/>
  <c r="AZ55" i="1"/>
  <c r="AX55" i="1"/>
  <c r="AW56" i="1"/>
  <c r="AZ56" i="1"/>
  <c r="AX56" i="1"/>
  <c r="AW57" i="1"/>
  <c r="AZ57" i="1"/>
  <c r="AX57" i="1"/>
  <c r="AW34" i="1"/>
  <c r="AZ34" i="1"/>
  <c r="AX34" i="1"/>
  <c r="AW35" i="1"/>
  <c r="AZ35" i="1"/>
  <c r="AX35" i="1"/>
  <c r="AW36" i="1"/>
  <c r="AZ36" i="1"/>
  <c r="AX36" i="1"/>
  <c r="AW37" i="1"/>
  <c r="AZ37" i="1"/>
  <c r="AX37" i="1"/>
  <c r="AW38" i="1"/>
  <c r="AZ38" i="1"/>
  <c r="AX38" i="1"/>
  <c r="AW41" i="1"/>
  <c r="AZ41" i="1"/>
  <c r="AX41" i="1"/>
  <c r="AW45" i="1"/>
  <c r="AZ45" i="1"/>
  <c r="AX45" i="1"/>
  <c r="AX60" i="1"/>
  <c r="AW60" i="1"/>
  <c r="AZ60" i="1"/>
  <c r="AX67" i="1"/>
  <c r="AW67" i="1"/>
  <c r="AZ67" i="1"/>
  <c r="AX59" i="1"/>
  <c r="AW59" i="1"/>
  <c r="AZ59" i="1"/>
  <c r="AX66" i="1"/>
  <c r="AW66" i="1"/>
  <c r="AZ66" i="1"/>
  <c r="AW42" i="1"/>
  <c r="AZ42" i="1"/>
  <c r="AX42" i="1"/>
  <c r="AW46" i="1"/>
  <c r="AX46" i="1"/>
  <c r="AZ46" i="1"/>
  <c r="AX62" i="1"/>
  <c r="AW62" i="1"/>
  <c r="AZ62" i="1"/>
  <c r="AX61" i="1"/>
  <c r="AW61" i="1"/>
  <c r="AZ61" i="1"/>
  <c r="AX68" i="1"/>
  <c r="AW68" i="1"/>
  <c r="AZ68" i="1"/>
  <c r="AW43" i="1"/>
  <c r="AZ43" i="1"/>
  <c r="AX43" i="1"/>
  <c r="BD58" i="1"/>
  <c r="BB58" i="1"/>
  <c r="BA58" i="1"/>
  <c r="R23" i="4" l="1"/>
  <c r="R24" i="4" s="1"/>
  <c r="S23" i="4"/>
  <c r="BF58" i="1"/>
  <c r="BE58" i="1"/>
  <c r="BA43" i="1"/>
  <c r="BD43" i="1"/>
  <c r="BB43" i="1"/>
  <c r="BD68" i="1"/>
  <c r="BB68" i="1"/>
  <c r="BA68" i="1"/>
  <c r="BD62" i="1"/>
  <c r="BB62" i="1"/>
  <c r="BA62" i="1"/>
  <c r="BD59" i="1"/>
  <c r="BB59" i="1"/>
  <c r="BA59" i="1"/>
  <c r="BD60" i="1"/>
  <c r="BB60" i="1"/>
  <c r="BA60" i="1"/>
  <c r="BA45" i="1"/>
  <c r="BD45" i="1"/>
  <c r="BB45" i="1"/>
  <c r="BA38" i="1"/>
  <c r="BD38" i="1"/>
  <c r="BB38" i="1"/>
  <c r="BA36" i="1"/>
  <c r="BD36" i="1"/>
  <c r="BB36" i="1"/>
  <c r="BA34" i="1"/>
  <c r="BD34" i="1"/>
  <c r="BB34" i="1"/>
  <c r="BA56" i="1"/>
  <c r="BD56" i="1"/>
  <c r="BB56" i="1"/>
  <c r="BA54" i="1"/>
  <c r="BD54" i="1"/>
  <c r="BB54" i="1"/>
  <c r="BA51" i="1"/>
  <c r="BD51" i="1"/>
  <c r="BB51" i="1"/>
  <c r="BA49" i="1"/>
  <c r="BD49" i="1"/>
  <c r="BB49" i="1"/>
  <c r="BA47" i="1"/>
  <c r="BD47" i="1"/>
  <c r="BB47" i="1"/>
  <c r="BA39" i="1"/>
  <c r="BD39" i="1"/>
  <c r="BB39" i="1"/>
  <c r="BD61" i="1"/>
  <c r="BB61" i="1"/>
  <c r="BA61" i="1"/>
  <c r="BA46" i="1"/>
  <c r="BD46" i="1"/>
  <c r="BB46" i="1"/>
  <c r="BA42" i="1"/>
  <c r="BD42" i="1"/>
  <c r="BB42" i="1"/>
  <c r="BD66" i="1"/>
  <c r="BB66" i="1"/>
  <c r="BA66" i="1"/>
  <c r="BD67" i="1"/>
  <c r="BB67" i="1"/>
  <c r="BA67" i="1"/>
  <c r="BA41" i="1"/>
  <c r="BD41" i="1"/>
  <c r="BB41" i="1"/>
  <c r="BA37" i="1"/>
  <c r="BD37" i="1"/>
  <c r="BB37" i="1"/>
  <c r="BA35" i="1"/>
  <c r="BD35" i="1"/>
  <c r="BB35" i="1"/>
  <c r="BA57" i="1"/>
  <c r="BD57" i="1"/>
  <c r="BB57" i="1"/>
  <c r="BA55" i="1"/>
  <c r="BD55" i="1"/>
  <c r="BB55" i="1"/>
  <c r="BA53" i="1"/>
  <c r="BD53" i="1"/>
  <c r="BB53" i="1"/>
  <c r="BA50" i="1"/>
  <c r="BD50" i="1"/>
  <c r="BB50" i="1"/>
  <c r="BA48" i="1"/>
  <c r="BD48" i="1"/>
  <c r="BB48" i="1"/>
  <c r="BA44" i="1"/>
  <c r="BD44" i="1"/>
  <c r="BB44" i="1"/>
  <c r="E69" i="4" l="1"/>
  <c r="S24" i="4"/>
  <c r="E87" i="4" s="1"/>
  <c r="BE44" i="1"/>
  <c r="BF44" i="1"/>
  <c r="BE50" i="1"/>
  <c r="BF50" i="1"/>
  <c r="BE55" i="1"/>
  <c r="BF55" i="1"/>
  <c r="BE35" i="1"/>
  <c r="BF35" i="1"/>
  <c r="BE41" i="1"/>
  <c r="BF41" i="1"/>
  <c r="BF67" i="1"/>
  <c r="BE67" i="1"/>
  <c r="BE46" i="1"/>
  <c r="BF46" i="1"/>
  <c r="BF61" i="1"/>
  <c r="BE61" i="1"/>
  <c r="BE39" i="1"/>
  <c r="BF39" i="1"/>
  <c r="BE49" i="1"/>
  <c r="BF49" i="1"/>
  <c r="BE54" i="1"/>
  <c r="BF54" i="1"/>
  <c r="BE34" i="1"/>
  <c r="BF34" i="1"/>
  <c r="BE38" i="1"/>
  <c r="BF38" i="1"/>
  <c r="BF59" i="1"/>
  <c r="BE59" i="1"/>
  <c r="BF68" i="1"/>
  <c r="BE68" i="1"/>
  <c r="BE43" i="1"/>
  <c r="BF43" i="1"/>
  <c r="BE48" i="1"/>
  <c r="BF48" i="1"/>
  <c r="BE53" i="1"/>
  <c r="BF53" i="1"/>
  <c r="BE57" i="1"/>
  <c r="BF57" i="1"/>
  <c r="BE37" i="1"/>
  <c r="BF37" i="1"/>
  <c r="BF66" i="1"/>
  <c r="BE66" i="1"/>
  <c r="BE42" i="1"/>
  <c r="BF42" i="1"/>
  <c r="BE47" i="1"/>
  <c r="BF47" i="1"/>
  <c r="BE51" i="1"/>
  <c r="BF51" i="1"/>
  <c r="BE56" i="1"/>
  <c r="BF56" i="1"/>
  <c r="BE36" i="1"/>
  <c r="BF36" i="1"/>
  <c r="BE45" i="1"/>
  <c r="BF45" i="1"/>
  <c r="BF60" i="1"/>
  <c r="BE60" i="1"/>
  <c r="BF62" i="1"/>
  <c r="BE62" i="1"/>
  <c r="G4" i="10" l="1"/>
  <c r="F87" i="4"/>
  <c r="F4" i="10"/>
  <c r="F69" i="4"/>
  <c r="AJ4" i="1"/>
  <c r="AJ5" i="1"/>
  <c r="AJ6" i="1"/>
  <c r="AJ7" i="1"/>
  <c r="AK7" i="1" s="1"/>
  <c r="AJ8" i="1"/>
  <c r="AJ9" i="1"/>
  <c r="AK9" i="1" s="1"/>
  <c r="AJ10" i="1"/>
  <c r="AK10" i="1" s="1"/>
  <c r="AJ11" i="1"/>
  <c r="AK11" i="1" s="1"/>
  <c r="AJ12" i="1"/>
  <c r="AK12" i="1" s="1"/>
  <c r="AJ13" i="1"/>
  <c r="AJ14" i="1"/>
  <c r="AJ15" i="1"/>
  <c r="AJ16" i="1"/>
  <c r="AJ17" i="1"/>
  <c r="AK17" i="1" s="1"/>
  <c r="AJ18" i="1"/>
  <c r="AJ19" i="1"/>
  <c r="AJ20" i="1"/>
  <c r="AJ21" i="1"/>
  <c r="AJ22" i="1"/>
  <c r="AJ23" i="1"/>
  <c r="AK23" i="1" s="1"/>
  <c r="AJ24" i="1"/>
  <c r="AJ25" i="1"/>
  <c r="AK25" i="1" s="1"/>
  <c r="AJ26" i="1"/>
  <c r="AJ27" i="1"/>
  <c r="AJ28" i="1"/>
  <c r="AJ29" i="1"/>
  <c r="AJ30" i="1"/>
  <c r="AJ31" i="1"/>
  <c r="AJ32" i="1"/>
  <c r="AJ33" i="1"/>
  <c r="AJ3" i="1"/>
  <c r="AH4" i="2"/>
  <c r="AI4" i="2"/>
  <c r="AK4" i="2"/>
  <c r="AH5" i="2"/>
  <c r="AI5" i="2"/>
  <c r="AK5" i="2"/>
  <c r="AH6" i="2"/>
  <c r="AI6" i="2"/>
  <c r="AK6" i="2"/>
  <c r="AH7" i="2"/>
  <c r="AI7" i="2"/>
  <c r="AK7" i="2"/>
  <c r="AH8" i="2"/>
  <c r="AI8" i="2"/>
  <c r="AK8" i="2"/>
  <c r="AH9" i="2"/>
  <c r="AI9" i="2"/>
  <c r="AK9" i="2"/>
  <c r="AH10" i="2"/>
  <c r="AI10" i="2"/>
  <c r="AK10" i="2"/>
  <c r="AH11" i="2"/>
  <c r="AI11" i="2"/>
  <c r="AK11" i="2"/>
  <c r="AH12" i="2"/>
  <c r="AI12" i="2"/>
  <c r="AK12" i="2"/>
  <c r="AH13" i="2"/>
  <c r="AI13" i="2"/>
  <c r="AK13" i="2"/>
  <c r="AH14" i="2"/>
  <c r="AI14" i="2"/>
  <c r="AK14" i="2"/>
  <c r="AH15" i="2"/>
  <c r="AI15" i="2"/>
  <c r="AK15" i="2"/>
  <c r="AH16" i="2"/>
  <c r="AI16" i="2"/>
  <c r="AK16" i="2"/>
  <c r="AH17" i="2"/>
  <c r="AI17" i="2"/>
  <c r="AK17" i="2"/>
  <c r="AH18" i="2"/>
  <c r="AI18" i="2"/>
  <c r="AK18" i="2"/>
  <c r="AH19" i="2"/>
  <c r="AI19" i="2"/>
  <c r="AK19" i="2"/>
  <c r="AH20" i="2"/>
  <c r="AI20" i="2"/>
  <c r="AK20" i="2"/>
  <c r="AH21" i="2"/>
  <c r="AI21" i="2"/>
  <c r="AK21" i="2"/>
  <c r="AH22" i="2"/>
  <c r="AI22" i="2"/>
  <c r="AK22" i="2"/>
  <c r="AH23" i="2"/>
  <c r="AI23" i="2"/>
  <c r="AK23" i="2"/>
  <c r="AH24" i="2"/>
  <c r="AI24" i="2"/>
  <c r="AK24" i="2"/>
  <c r="AH25" i="2"/>
  <c r="AI25" i="2"/>
  <c r="AK25" i="2"/>
  <c r="AH26" i="2"/>
  <c r="AI26" i="2"/>
  <c r="AK26" i="2"/>
  <c r="AH27" i="2"/>
  <c r="AI27" i="2"/>
  <c r="AK27" i="2"/>
  <c r="AH28" i="2"/>
  <c r="AI28" i="2"/>
  <c r="AK28" i="2"/>
  <c r="AH29" i="2"/>
  <c r="AI29" i="2"/>
  <c r="AK29" i="2"/>
  <c r="AH30" i="2"/>
  <c r="AI30" i="2"/>
  <c r="AK30" i="2"/>
  <c r="AI31" i="2"/>
  <c r="AK31" i="2"/>
  <c r="AI32" i="2"/>
  <c r="AK32" i="2"/>
  <c r="AI33" i="2"/>
  <c r="AK33" i="2"/>
  <c r="AK3" i="2"/>
  <c r="AI3" i="2"/>
  <c r="AH3" i="2"/>
  <c r="AP4" i="1"/>
  <c r="AQ4" i="1" s="1"/>
  <c r="AP5" i="1"/>
  <c r="AP6" i="1"/>
  <c r="AQ6" i="1" s="1"/>
  <c r="AP7" i="1"/>
  <c r="AP8" i="1"/>
  <c r="AQ8" i="1" s="1"/>
  <c r="AP9" i="1"/>
  <c r="AP10" i="1"/>
  <c r="AQ10" i="1" s="1"/>
  <c r="AP11" i="1"/>
  <c r="AP12" i="1"/>
  <c r="AQ12" i="1" s="1"/>
  <c r="AP13" i="1"/>
  <c r="AP14" i="1"/>
  <c r="AP15" i="1"/>
  <c r="AP16" i="1"/>
  <c r="AP17" i="1"/>
  <c r="AQ17" i="1" s="1"/>
  <c r="AP18" i="1"/>
  <c r="AP19" i="1"/>
  <c r="AP20" i="1"/>
  <c r="AP21" i="1"/>
  <c r="AQ21" i="1" s="1"/>
  <c r="AU21" i="1"/>
  <c r="AP22" i="1"/>
  <c r="AP23" i="1"/>
  <c r="AQ23" i="1" s="1"/>
  <c r="AP24" i="1"/>
  <c r="AP25" i="1"/>
  <c r="AQ25" i="1" s="1"/>
  <c r="AP26" i="1"/>
  <c r="AP27" i="1"/>
  <c r="AQ27" i="1" s="1"/>
  <c r="AP28" i="1"/>
  <c r="AP29" i="1"/>
  <c r="AQ29" i="1" s="1"/>
  <c r="AP30" i="1"/>
  <c r="AP31" i="1"/>
  <c r="AQ31" i="1"/>
  <c r="AU31" i="1"/>
  <c r="AP32" i="1"/>
  <c r="AP33" i="1"/>
  <c r="AQ33" i="1" s="1"/>
  <c r="AP3" i="1"/>
  <c r="AU3" i="1" s="1"/>
  <c r="F6" i="6"/>
  <c r="AK6" i="6" s="1"/>
  <c r="F7" i="6"/>
  <c r="AK7" i="6" s="1"/>
  <c r="F9" i="6"/>
  <c r="AK9" i="6" s="1"/>
  <c r="F10" i="6"/>
  <c r="AK10" i="6" s="1"/>
  <c r="F11" i="6"/>
  <c r="AK11" i="6" s="1"/>
  <c r="F12" i="6"/>
  <c r="AK12" i="6" s="1"/>
  <c r="F16" i="6"/>
  <c r="AK16" i="6" s="1"/>
  <c r="F17" i="6"/>
  <c r="AK17" i="6" s="1"/>
  <c r="F19" i="6"/>
  <c r="AK19" i="6" s="1"/>
  <c r="F23" i="6"/>
  <c r="AK23" i="6" s="1"/>
  <c r="F24" i="6"/>
  <c r="AK24" i="6" s="1"/>
  <c r="F25" i="6"/>
  <c r="AK25" i="6" s="1"/>
  <c r="F26" i="6"/>
  <c r="AK26" i="6" s="1"/>
  <c r="F30" i="6"/>
  <c r="AK30" i="6" s="1"/>
  <c r="F34" i="6"/>
  <c r="AK34" i="6" s="1"/>
  <c r="F35" i="6"/>
  <c r="AK35" i="6" s="1"/>
  <c r="F36" i="6"/>
  <c r="AK36" i="6" s="1"/>
  <c r="F37" i="6"/>
  <c r="AK37" i="6" s="1"/>
  <c r="F38" i="6"/>
  <c r="AK38" i="6" s="1"/>
  <c r="F39" i="6"/>
  <c r="AK39" i="6" s="1"/>
  <c r="F40" i="6"/>
  <c r="AK40" i="6" s="1"/>
  <c r="F41" i="6"/>
  <c r="AK41" i="6" s="1"/>
  <c r="F42" i="6"/>
  <c r="AK42" i="6" s="1"/>
  <c r="F43" i="6"/>
  <c r="AK43" i="6" s="1"/>
  <c r="F44" i="6"/>
  <c r="AK44" i="6" s="1"/>
  <c r="F45" i="6"/>
  <c r="AK45" i="6" s="1"/>
  <c r="F46" i="6"/>
  <c r="AK46" i="6" s="1"/>
  <c r="F47" i="6"/>
  <c r="AK47" i="6" s="1"/>
  <c r="F48" i="6"/>
  <c r="AK48" i="6" s="1"/>
  <c r="F49" i="6"/>
  <c r="AK49" i="6" s="1"/>
  <c r="F50" i="6"/>
  <c r="AK50" i="6" s="1"/>
  <c r="F51" i="6"/>
  <c r="AK51" i="6" s="1"/>
  <c r="E34" i="6"/>
  <c r="AB34" i="6" s="1"/>
  <c r="E35" i="6"/>
  <c r="AB35" i="6" s="1"/>
  <c r="E36" i="6"/>
  <c r="AB36" i="6" s="1"/>
  <c r="E37" i="6"/>
  <c r="AB37" i="6" s="1"/>
  <c r="E38" i="6"/>
  <c r="AB38" i="6" s="1"/>
  <c r="E39" i="6"/>
  <c r="AB39" i="6" s="1"/>
  <c r="E40" i="6"/>
  <c r="AB40" i="6" s="1"/>
  <c r="E41" i="6"/>
  <c r="AB41" i="6" s="1"/>
  <c r="E42" i="6"/>
  <c r="AB42" i="6" s="1"/>
  <c r="E43" i="6"/>
  <c r="AB43" i="6" s="1"/>
  <c r="E44" i="6"/>
  <c r="AB44" i="6" s="1"/>
  <c r="E45" i="6"/>
  <c r="AB45" i="6" s="1"/>
  <c r="E46" i="6"/>
  <c r="AB46" i="6" s="1"/>
  <c r="E47" i="6"/>
  <c r="AB47" i="6" s="1"/>
  <c r="E48" i="6"/>
  <c r="AB48" i="6" s="1"/>
  <c r="E49" i="6"/>
  <c r="AB49" i="6" s="1"/>
  <c r="E50" i="6"/>
  <c r="AB50" i="6" s="1"/>
  <c r="E51" i="6"/>
  <c r="AB51" i="6" s="1"/>
  <c r="D34" i="6"/>
  <c r="S34" i="6" s="1"/>
  <c r="D35" i="6"/>
  <c r="S35" i="6" s="1"/>
  <c r="D36" i="6"/>
  <c r="S36" i="6" s="1"/>
  <c r="D37" i="6"/>
  <c r="S37" i="6" s="1"/>
  <c r="D38" i="6"/>
  <c r="S38" i="6" s="1"/>
  <c r="D39" i="6"/>
  <c r="S39" i="6" s="1"/>
  <c r="D40" i="6"/>
  <c r="S40" i="6" s="1"/>
  <c r="D41" i="6"/>
  <c r="S41" i="6" s="1"/>
  <c r="D42" i="6"/>
  <c r="S42" i="6" s="1"/>
  <c r="D43" i="6"/>
  <c r="S43" i="6" s="1"/>
  <c r="D44" i="6"/>
  <c r="S44" i="6" s="1"/>
  <c r="D45" i="6"/>
  <c r="S45" i="6" s="1"/>
  <c r="D46" i="6"/>
  <c r="S46" i="6" s="1"/>
  <c r="D47" i="6"/>
  <c r="S47" i="6" s="1"/>
  <c r="D48" i="6"/>
  <c r="S48" i="6" s="1"/>
  <c r="D49" i="6"/>
  <c r="S49" i="6" s="1"/>
  <c r="D50" i="6"/>
  <c r="S50" i="6" s="1"/>
  <c r="D51" i="6"/>
  <c r="S51" i="6" s="1"/>
  <c r="J34" i="6"/>
  <c r="J35" i="6"/>
  <c r="J36" i="6"/>
  <c r="J37" i="6"/>
  <c r="J38" i="6"/>
  <c r="J39" i="6"/>
  <c r="J40" i="6"/>
  <c r="J41" i="6"/>
  <c r="J42" i="6"/>
  <c r="J43" i="6"/>
  <c r="J44" i="6"/>
  <c r="J45" i="6"/>
  <c r="J46" i="6"/>
  <c r="J47" i="6"/>
  <c r="J48" i="6"/>
  <c r="J49" i="6"/>
  <c r="J50" i="6"/>
  <c r="J51" i="6"/>
  <c r="B4" i="6"/>
  <c r="B5" i="6"/>
  <c r="B6" i="6"/>
  <c r="B7" i="6"/>
  <c r="B8" i="6"/>
  <c r="B9" i="6"/>
  <c r="B10" i="6"/>
  <c r="B11" i="6"/>
  <c r="B12" i="6"/>
  <c r="B13" i="6"/>
  <c r="B14" i="6"/>
  <c r="B15" i="6"/>
  <c r="B16" i="6"/>
  <c r="B17" i="6"/>
  <c r="B18" i="6"/>
  <c r="B19" i="6"/>
  <c r="B20" i="6"/>
  <c r="B21" i="6"/>
  <c r="B22" i="6"/>
  <c r="B23" i="6"/>
  <c r="B24" i="6"/>
  <c r="B25" i="6"/>
  <c r="B26" i="6"/>
  <c r="A27" i="6"/>
  <c r="B27" i="6"/>
  <c r="B28" i="6"/>
  <c r="B29" i="6"/>
  <c r="B30" i="6"/>
  <c r="B31" i="6"/>
  <c r="B32" i="6"/>
  <c r="B33" i="6"/>
  <c r="B34" i="6"/>
  <c r="B35" i="6"/>
  <c r="B36" i="6"/>
  <c r="B37" i="6"/>
  <c r="B38" i="6"/>
  <c r="B39" i="6"/>
  <c r="B40" i="6"/>
  <c r="B41" i="6"/>
  <c r="B42" i="6"/>
  <c r="B43" i="6"/>
  <c r="B44" i="6"/>
  <c r="B45" i="6"/>
  <c r="B46" i="6"/>
  <c r="B47" i="6"/>
  <c r="B48" i="6"/>
  <c r="B49" i="6"/>
  <c r="B50" i="6"/>
  <c r="B51" i="6"/>
  <c r="B3" i="6"/>
  <c r="AE9" i="4"/>
  <c r="AE8" i="4"/>
  <c r="AE7" i="4"/>
  <c r="AE6" i="4"/>
  <c r="AE5" i="4"/>
  <c r="AE4" i="4"/>
  <c r="AE3" i="4"/>
  <c r="U9" i="4"/>
  <c r="U8" i="4"/>
  <c r="U7" i="4"/>
  <c r="U6" i="4"/>
  <c r="U5" i="4"/>
  <c r="U4" i="4"/>
  <c r="U3" i="4"/>
  <c r="K9" i="4"/>
  <c r="K8" i="4"/>
  <c r="K7" i="4"/>
  <c r="K6" i="4"/>
  <c r="K5" i="4"/>
  <c r="K4" i="4"/>
  <c r="K3" i="4"/>
  <c r="A9" i="4"/>
  <c r="A4" i="4"/>
  <c r="A5" i="4"/>
  <c r="A6" i="4"/>
  <c r="A7" i="4"/>
  <c r="A8" i="4"/>
  <c r="A3" i="4"/>
  <c r="AB4" i="2"/>
  <c r="AC4" i="2" s="1"/>
  <c r="AD4" i="2" s="1"/>
  <c r="AB5" i="2"/>
  <c r="AC5" i="2" s="1"/>
  <c r="AD5" i="2" s="1"/>
  <c r="AB6" i="2"/>
  <c r="AC6" i="2" s="1"/>
  <c r="AD6" i="2" s="1"/>
  <c r="AB7" i="2"/>
  <c r="AC7" i="2" s="1"/>
  <c r="AD7" i="2" s="1"/>
  <c r="AB8" i="2"/>
  <c r="AC8" i="2" s="1"/>
  <c r="AD8" i="2" s="1"/>
  <c r="AB9" i="2"/>
  <c r="AC9" i="2" s="1"/>
  <c r="AD9" i="2" s="1"/>
  <c r="AB10" i="2"/>
  <c r="AC10" i="2" s="1"/>
  <c r="AD10" i="2" s="1"/>
  <c r="AB11" i="2"/>
  <c r="AC11" i="2" s="1"/>
  <c r="AD11" i="2" s="1"/>
  <c r="AB12" i="2"/>
  <c r="AC12" i="2" s="1"/>
  <c r="AD12" i="2" s="1"/>
  <c r="AB13" i="2"/>
  <c r="AC13" i="2" s="1"/>
  <c r="AD13" i="2" s="1"/>
  <c r="AB14" i="2"/>
  <c r="AC14" i="2" s="1"/>
  <c r="AD14" i="2" s="1"/>
  <c r="AB15" i="2"/>
  <c r="AC15" i="2" s="1"/>
  <c r="AD15" i="2" s="1"/>
  <c r="AB16" i="2"/>
  <c r="AC16" i="2" s="1"/>
  <c r="AD16" i="2" s="1"/>
  <c r="AB17" i="2"/>
  <c r="AC17" i="2" s="1"/>
  <c r="AD17" i="2" s="1"/>
  <c r="AB18" i="2"/>
  <c r="AC18" i="2" s="1"/>
  <c r="AD18" i="2" s="1"/>
  <c r="AB19" i="2"/>
  <c r="AC19" i="2" s="1"/>
  <c r="AD19" i="2" s="1"/>
  <c r="AB20" i="2"/>
  <c r="AC20" i="2" s="1"/>
  <c r="AD20" i="2" s="1"/>
  <c r="AB21" i="2"/>
  <c r="AC21" i="2" s="1"/>
  <c r="AD21" i="2" s="1"/>
  <c r="AB22" i="2"/>
  <c r="AC22" i="2" s="1"/>
  <c r="AD22" i="2" s="1"/>
  <c r="AB23" i="2"/>
  <c r="AC23" i="2" s="1"/>
  <c r="AD23" i="2" s="1"/>
  <c r="AB24" i="2"/>
  <c r="AC24" i="2" s="1"/>
  <c r="AD24" i="2" s="1"/>
  <c r="AB25" i="2"/>
  <c r="AC25" i="2" s="1"/>
  <c r="AD25" i="2" s="1"/>
  <c r="AB26" i="2"/>
  <c r="AC26" i="2" s="1"/>
  <c r="AD26" i="2" s="1"/>
  <c r="AB27" i="2"/>
  <c r="AC27" i="2" s="1"/>
  <c r="AD27" i="2" s="1"/>
  <c r="AB28" i="2"/>
  <c r="AC28" i="2" s="1"/>
  <c r="AD28" i="2" s="1"/>
  <c r="AB29" i="2"/>
  <c r="AC29" i="2" s="1"/>
  <c r="AD29" i="2" s="1"/>
  <c r="AB30" i="2"/>
  <c r="AC30" i="2" s="1"/>
  <c r="AD30" i="2" s="1"/>
  <c r="AB31" i="2"/>
  <c r="AC31" i="2" s="1"/>
  <c r="AD31" i="2" s="1"/>
  <c r="AB32" i="2"/>
  <c r="AC32" i="2" s="1"/>
  <c r="AD32" i="2" s="1"/>
  <c r="AB33" i="2"/>
  <c r="AC33" i="2" s="1"/>
  <c r="AD33" i="2" s="1"/>
  <c r="AB3" i="2"/>
  <c r="AC3" i="2" s="1"/>
  <c r="AD3" i="2" s="1"/>
  <c r="R4" i="2"/>
  <c r="R5" i="2"/>
  <c r="R32" i="2"/>
  <c r="R33" i="2"/>
  <c r="R3" i="2"/>
  <c r="K4" i="2"/>
  <c r="K5" i="2"/>
  <c r="K18" i="2"/>
  <c r="K27" i="2"/>
  <c r="K3" i="2"/>
  <c r="F5" i="6"/>
  <c r="AK5" i="6" s="1"/>
  <c r="AK24" i="1"/>
  <c r="AK26" i="1"/>
  <c r="AK30" i="1"/>
  <c r="AD9" i="1"/>
  <c r="AD10" i="1"/>
  <c r="AD11" i="1"/>
  <c r="AD12" i="1"/>
  <c r="AD13" i="1"/>
  <c r="AD15" i="1"/>
  <c r="AD18" i="1"/>
  <c r="AD19" i="1"/>
  <c r="AD20" i="1"/>
  <c r="AD21" i="1"/>
  <c r="AD27" i="1"/>
  <c r="AA7" i="4" s="1"/>
  <c r="AD31" i="1"/>
  <c r="AD33" i="1"/>
  <c r="Q6" i="1"/>
  <c r="Q7" i="1"/>
  <c r="Q8" i="1"/>
  <c r="Q9" i="1"/>
  <c r="Q10" i="1"/>
  <c r="Q11" i="1"/>
  <c r="Q12" i="1"/>
  <c r="Q13" i="1"/>
  <c r="Q14" i="1"/>
  <c r="Q15" i="1"/>
  <c r="Q16" i="1"/>
  <c r="Q17" i="1"/>
  <c r="Q18" i="1"/>
  <c r="Q19" i="1"/>
  <c r="Q20" i="1"/>
  <c r="Q21" i="1"/>
  <c r="Q22" i="1"/>
  <c r="Q23" i="1"/>
  <c r="Q24" i="1"/>
  <c r="Q25" i="1"/>
  <c r="Q26" i="1"/>
  <c r="Q27" i="1"/>
  <c r="Q28" i="1"/>
  <c r="Q29" i="1"/>
  <c r="Q30" i="1"/>
  <c r="Q31" i="1"/>
  <c r="Q32" i="1"/>
  <c r="Q33" i="1"/>
  <c r="D3" i="6"/>
  <c r="S3" i="6" s="1"/>
  <c r="AB7" i="4" l="1"/>
  <c r="AC7" i="4"/>
  <c r="AA5" i="4"/>
  <c r="AB5" i="4" s="1"/>
  <c r="R33" i="1"/>
  <c r="W33" i="1"/>
  <c r="X33" i="1" s="1"/>
  <c r="R30" i="1"/>
  <c r="C30" i="6" s="1"/>
  <c r="J30" i="6" s="1"/>
  <c r="W30" i="1"/>
  <c r="R22" i="1"/>
  <c r="W22" i="1"/>
  <c r="R14" i="1"/>
  <c r="W14" i="1"/>
  <c r="R6" i="1"/>
  <c r="W6" i="1"/>
  <c r="R25" i="1"/>
  <c r="S25" i="1" s="1"/>
  <c r="W25" i="1"/>
  <c r="D25" i="6" s="1"/>
  <c r="S25" i="6" s="1"/>
  <c r="AR17" i="1"/>
  <c r="R17" i="1"/>
  <c r="W17" i="1"/>
  <c r="D17" i="6" s="1"/>
  <c r="S17" i="6" s="1"/>
  <c r="R9" i="1"/>
  <c r="C9" i="6" s="1"/>
  <c r="J9" i="6" s="1"/>
  <c r="W9" i="1"/>
  <c r="E32" i="6"/>
  <c r="AB32" i="6" s="1"/>
  <c r="AD32" i="1"/>
  <c r="AA9" i="4" s="1"/>
  <c r="E4" i="6"/>
  <c r="AB4" i="6" s="1"/>
  <c r="AA3" i="4"/>
  <c r="R32" i="1"/>
  <c r="C32" i="6" s="1"/>
  <c r="J32" i="6" s="1"/>
  <c r="W32" i="1"/>
  <c r="X32" i="1" s="1"/>
  <c r="R28" i="1"/>
  <c r="W28" i="1"/>
  <c r="R24" i="1"/>
  <c r="W24" i="1"/>
  <c r="R20" i="1"/>
  <c r="W20" i="1"/>
  <c r="C16" i="6"/>
  <c r="R16" i="1"/>
  <c r="W16" i="1"/>
  <c r="X16" i="1" s="1"/>
  <c r="R12" i="1"/>
  <c r="C12" i="6" s="1"/>
  <c r="J12" i="6" s="1"/>
  <c r="W12" i="1"/>
  <c r="R8" i="1"/>
  <c r="G4" i="4" s="1"/>
  <c r="W8" i="1"/>
  <c r="AR26" i="1"/>
  <c r="R26" i="1"/>
  <c r="C26" i="6" s="1"/>
  <c r="J26" i="6" s="1"/>
  <c r="W26" i="1"/>
  <c r="R18" i="1"/>
  <c r="W18" i="1"/>
  <c r="X18" i="1" s="1"/>
  <c r="R10" i="1"/>
  <c r="C10" i="6" s="1"/>
  <c r="J10" i="6" s="1"/>
  <c r="W10" i="1"/>
  <c r="X10" i="1" s="1"/>
  <c r="E25" i="6"/>
  <c r="AB25" i="6" s="1"/>
  <c r="R29" i="1"/>
  <c r="C29" i="6" s="1"/>
  <c r="J29" i="6" s="1"/>
  <c r="W29" i="1"/>
  <c r="R21" i="1"/>
  <c r="C21" i="6" s="1"/>
  <c r="J21" i="6" s="1"/>
  <c r="W21" i="1"/>
  <c r="X21" i="1" s="1"/>
  <c r="R13" i="1"/>
  <c r="W13" i="1"/>
  <c r="X13" i="1" s="1"/>
  <c r="AD24" i="1"/>
  <c r="AA6" i="4" s="1"/>
  <c r="AB6" i="4" s="1"/>
  <c r="AD8" i="1"/>
  <c r="R31" i="1"/>
  <c r="W31" i="1"/>
  <c r="X31" i="1" s="1"/>
  <c r="R27" i="1"/>
  <c r="G7" i="4" s="1"/>
  <c r="H7" i="4" s="1"/>
  <c r="W27" i="1"/>
  <c r="X27" i="1" s="1"/>
  <c r="R23" i="1"/>
  <c r="C23" i="6" s="1"/>
  <c r="J23" i="6" s="1"/>
  <c r="R19" i="1"/>
  <c r="C19" i="6" s="1"/>
  <c r="J19" i="6" s="1"/>
  <c r="W19" i="1"/>
  <c r="X19" i="1" s="1"/>
  <c r="R15" i="1"/>
  <c r="C15" i="6" s="1"/>
  <c r="J15" i="6" s="1"/>
  <c r="W15" i="1"/>
  <c r="R11" i="1"/>
  <c r="C11" i="6" s="1"/>
  <c r="J11" i="6" s="1"/>
  <c r="W11" i="1"/>
  <c r="R7" i="1"/>
  <c r="W7" i="1"/>
  <c r="X7" i="1" s="1"/>
  <c r="AA8" i="4"/>
  <c r="AU29" i="1"/>
  <c r="AY29" i="1" s="1"/>
  <c r="BC29" i="1" s="1"/>
  <c r="AY21" i="1"/>
  <c r="BC21" i="1" s="1"/>
  <c r="C8" i="6"/>
  <c r="AR9" i="1"/>
  <c r="L10" i="6"/>
  <c r="L12" i="6"/>
  <c r="L11" i="6"/>
  <c r="AU27" i="1"/>
  <c r="AU23" i="1"/>
  <c r="D7" i="6"/>
  <c r="S7" i="6" s="1"/>
  <c r="E9" i="6"/>
  <c r="AB9" i="6" s="1"/>
  <c r="AU25" i="1"/>
  <c r="AR23" i="1"/>
  <c r="AS23" i="1" s="1"/>
  <c r="AE25" i="1"/>
  <c r="E24" i="6"/>
  <c r="AB24" i="6" s="1"/>
  <c r="AU17" i="1"/>
  <c r="AY17" i="1" s="1"/>
  <c r="BC17" i="1" s="1"/>
  <c r="AS17" i="1"/>
  <c r="AU4" i="1"/>
  <c r="AU10" i="1"/>
  <c r="AY10" i="1" s="1"/>
  <c r="BC10" i="1" s="1"/>
  <c r="AU6" i="1"/>
  <c r="AU12" i="1"/>
  <c r="AY12" i="1" s="1"/>
  <c r="BC12" i="1" s="1"/>
  <c r="AU8" i="1"/>
  <c r="AM10" i="6"/>
  <c r="AN11" i="6"/>
  <c r="AM12" i="6"/>
  <c r="AN13" i="6"/>
  <c r="AM14" i="6"/>
  <c r="AN15" i="6"/>
  <c r="AM16" i="6"/>
  <c r="AN17" i="6"/>
  <c r="AM18" i="6"/>
  <c r="AN19" i="6"/>
  <c r="AM20" i="6"/>
  <c r="AN10" i="6"/>
  <c r="AM11" i="6"/>
  <c r="AN12" i="6"/>
  <c r="AM13" i="6"/>
  <c r="AN14" i="6"/>
  <c r="AM15" i="6"/>
  <c r="AN16" i="6"/>
  <c r="AM17" i="6"/>
  <c r="AN18" i="6"/>
  <c r="AM19" i="6"/>
  <c r="AN20" i="6"/>
  <c r="AM21" i="6"/>
  <c r="AM22" i="6"/>
  <c r="AM23" i="6"/>
  <c r="AM24" i="6"/>
  <c r="AM25" i="6"/>
  <c r="AM26" i="6"/>
  <c r="AM27" i="6"/>
  <c r="AM28" i="6"/>
  <c r="AM29" i="6"/>
  <c r="AM30" i="6"/>
  <c r="AM31" i="6"/>
  <c r="AM32" i="6"/>
  <c r="AM33" i="6"/>
  <c r="AM34" i="6"/>
  <c r="AM35" i="6"/>
  <c r="AM36" i="6"/>
  <c r="AM37" i="6"/>
  <c r="AM38" i="6"/>
  <c r="AM39" i="6"/>
  <c r="AM40" i="6"/>
  <c r="AD10" i="6"/>
  <c r="AD11" i="6"/>
  <c r="AD12" i="6"/>
  <c r="AD13" i="6"/>
  <c r="AD14" i="6"/>
  <c r="AD15" i="6"/>
  <c r="AD16" i="6"/>
  <c r="AP22" i="6"/>
  <c r="AP24" i="6"/>
  <c r="AP26" i="6"/>
  <c r="AP28" i="6"/>
  <c r="AP30" i="6"/>
  <c r="AP32" i="6"/>
  <c r="AP34" i="6"/>
  <c r="AP36" i="6"/>
  <c r="AP38" i="6"/>
  <c r="AP40" i="6"/>
  <c r="AE10" i="6"/>
  <c r="AE12" i="6"/>
  <c r="AE14" i="6"/>
  <c r="AE16" i="6"/>
  <c r="AE17" i="6"/>
  <c r="AE18" i="6"/>
  <c r="AE19" i="6"/>
  <c r="AE20" i="6"/>
  <c r="AE21" i="6"/>
  <c r="AE22" i="6"/>
  <c r="AE23" i="6"/>
  <c r="AE24" i="6"/>
  <c r="AE25" i="6"/>
  <c r="AE26" i="6"/>
  <c r="AE27" i="6"/>
  <c r="AE28" i="6"/>
  <c r="AE29" i="6"/>
  <c r="AE30" i="6"/>
  <c r="AE31" i="6"/>
  <c r="AE32" i="6"/>
  <c r="AE33" i="6"/>
  <c r="AE34" i="6"/>
  <c r="AE35" i="6"/>
  <c r="AE36" i="6"/>
  <c r="AE37" i="6"/>
  <c r="AE38" i="6"/>
  <c r="AE39" i="6"/>
  <c r="AE40" i="6"/>
  <c r="V10" i="6"/>
  <c r="AO10" i="6"/>
  <c r="AP11" i="6"/>
  <c r="AO12" i="6"/>
  <c r="AP13" i="6"/>
  <c r="AO14" i="6"/>
  <c r="AP15" i="6"/>
  <c r="AO16" i="6"/>
  <c r="AP17" i="6"/>
  <c r="AO18" i="6"/>
  <c r="AP19" i="6"/>
  <c r="AO20" i="6"/>
  <c r="AP10" i="6"/>
  <c r="AO11" i="6"/>
  <c r="AP12" i="6"/>
  <c r="AO13" i="6"/>
  <c r="AP14" i="6"/>
  <c r="AO15" i="6"/>
  <c r="AP16" i="6"/>
  <c r="AO17" i="6"/>
  <c r="AP18" i="6"/>
  <c r="AO19" i="6"/>
  <c r="AP20" i="6"/>
  <c r="AO21" i="6"/>
  <c r="AO22" i="6"/>
  <c r="AO23" i="6"/>
  <c r="AO24" i="6"/>
  <c r="AO25" i="6"/>
  <c r="AO26" i="6"/>
  <c r="AO27" i="6"/>
  <c r="AO28" i="6"/>
  <c r="AO29" i="6"/>
  <c r="AO30" i="6"/>
  <c r="AO31" i="6"/>
  <c r="AO32" i="6"/>
  <c r="AO33" i="6"/>
  <c r="AO34" i="6"/>
  <c r="AO35" i="6"/>
  <c r="AO36" i="6"/>
  <c r="AO37" i="6"/>
  <c r="AO38" i="6"/>
  <c r="AO39" i="6"/>
  <c r="AO40" i="6"/>
  <c r="AF10" i="6"/>
  <c r="AF11" i="6"/>
  <c r="AF12" i="6"/>
  <c r="AF13" i="6"/>
  <c r="AF14" i="6"/>
  <c r="AF15" i="6"/>
  <c r="AP21" i="6"/>
  <c r="AP23" i="6"/>
  <c r="AP25" i="6"/>
  <c r="AP27" i="6"/>
  <c r="AP29" i="6"/>
  <c r="AP31" i="6"/>
  <c r="AP33" i="6"/>
  <c r="AP35" i="6"/>
  <c r="AP37" i="6"/>
  <c r="AP39" i="6"/>
  <c r="AE11" i="6"/>
  <c r="AE13" i="6"/>
  <c r="AE15" i="6"/>
  <c r="AG16" i="6"/>
  <c r="AG17" i="6"/>
  <c r="AG18" i="6"/>
  <c r="AG19" i="6"/>
  <c r="AG20" i="6"/>
  <c r="AG21" i="6"/>
  <c r="AG22" i="6"/>
  <c r="AG23" i="6"/>
  <c r="AG24" i="6"/>
  <c r="AG25" i="6"/>
  <c r="AG26" i="6"/>
  <c r="AG27" i="6"/>
  <c r="AG28" i="6"/>
  <c r="AG29" i="6"/>
  <c r="AG30" i="6"/>
  <c r="AG31" i="6"/>
  <c r="AG32" i="6"/>
  <c r="AG33" i="6"/>
  <c r="AG34" i="6"/>
  <c r="AG35" i="6"/>
  <c r="AG36" i="6"/>
  <c r="AG37" i="6"/>
  <c r="AG38" i="6"/>
  <c r="AG40" i="6"/>
  <c r="AN21" i="6"/>
  <c r="AN23" i="6"/>
  <c r="AN25" i="6"/>
  <c r="AN27" i="6"/>
  <c r="AN29" i="6"/>
  <c r="AN31" i="6"/>
  <c r="AN33" i="6"/>
  <c r="AN35" i="6"/>
  <c r="AN37" i="6"/>
  <c r="AN39" i="6"/>
  <c r="AG11" i="6"/>
  <c r="AG13" i="6"/>
  <c r="AG15" i="6"/>
  <c r="AD17" i="6"/>
  <c r="AD18" i="6"/>
  <c r="AD19" i="6"/>
  <c r="AD20" i="6"/>
  <c r="AD21" i="6"/>
  <c r="AD22" i="6"/>
  <c r="AD23" i="6"/>
  <c r="AD24" i="6"/>
  <c r="AD25" i="6"/>
  <c r="AD26" i="6"/>
  <c r="AD27" i="6"/>
  <c r="AD28" i="6"/>
  <c r="AD29" i="6"/>
  <c r="AD30" i="6"/>
  <c r="AD31" i="6"/>
  <c r="AD32" i="6"/>
  <c r="AD33" i="6"/>
  <c r="AD34" i="6"/>
  <c r="AD35" i="6"/>
  <c r="AD36" i="6"/>
  <c r="AD37" i="6"/>
  <c r="AD38" i="6"/>
  <c r="AD39" i="6"/>
  <c r="AD40" i="6"/>
  <c r="U10" i="6"/>
  <c r="V11" i="6"/>
  <c r="U12" i="6"/>
  <c r="W11" i="6"/>
  <c r="X12" i="6"/>
  <c r="W13" i="6"/>
  <c r="X14" i="6"/>
  <c r="W15" i="6"/>
  <c r="X16" i="6"/>
  <c r="W17" i="6"/>
  <c r="X18" i="6"/>
  <c r="W19" i="6"/>
  <c r="X20" i="6"/>
  <c r="W21" i="6"/>
  <c r="X22" i="6"/>
  <c r="W23" i="6"/>
  <c r="X24" i="6"/>
  <c r="W25" i="6"/>
  <c r="X26" i="6"/>
  <c r="W27" i="6"/>
  <c r="X28" i="6"/>
  <c r="W29" i="6"/>
  <c r="X30" i="6"/>
  <c r="W31" i="6"/>
  <c r="X32" i="6"/>
  <c r="W33" i="6"/>
  <c r="X34" i="6"/>
  <c r="W35" i="6"/>
  <c r="X36" i="6"/>
  <c r="W37" i="6"/>
  <c r="X38" i="6"/>
  <c r="W39" i="6"/>
  <c r="W40" i="6"/>
  <c r="O11" i="6"/>
  <c r="O12" i="6"/>
  <c r="O13" i="6"/>
  <c r="O14" i="6"/>
  <c r="O15" i="6"/>
  <c r="O16" i="6"/>
  <c r="O17" i="6"/>
  <c r="O18" i="6"/>
  <c r="O19" i="6"/>
  <c r="O20" i="6"/>
  <c r="O21" i="6"/>
  <c r="O22" i="6"/>
  <c r="O23" i="6"/>
  <c r="O24" i="6"/>
  <c r="O25" i="6"/>
  <c r="O26" i="6"/>
  <c r="O27" i="6"/>
  <c r="O28" i="6"/>
  <c r="O29" i="6"/>
  <c r="O30" i="6"/>
  <c r="O31" i="6"/>
  <c r="O32" i="6"/>
  <c r="O33" i="6"/>
  <c r="O34" i="6"/>
  <c r="O35" i="6"/>
  <c r="O36" i="6"/>
  <c r="O37" i="6"/>
  <c r="O38" i="6"/>
  <c r="O39" i="6"/>
  <c r="O40" i="6"/>
  <c r="U11" i="6"/>
  <c r="V13" i="6"/>
  <c r="U14" i="6"/>
  <c r="V15" i="6"/>
  <c r="U16" i="6"/>
  <c r="V17" i="6"/>
  <c r="U18" i="6"/>
  <c r="V19" i="6"/>
  <c r="U20" i="6"/>
  <c r="V21" i="6"/>
  <c r="U22" i="6"/>
  <c r="V23" i="6"/>
  <c r="U24" i="6"/>
  <c r="V25" i="6"/>
  <c r="U26" i="6"/>
  <c r="V27" i="6"/>
  <c r="U28" i="6"/>
  <c r="V29" i="6"/>
  <c r="U30" i="6"/>
  <c r="V31" i="6"/>
  <c r="U32" i="6"/>
  <c r="V33" i="6"/>
  <c r="U34" i="6"/>
  <c r="V35" i="6"/>
  <c r="U36" i="6"/>
  <c r="V37" i="6"/>
  <c r="U38" i="6"/>
  <c r="V39" i="6"/>
  <c r="V40" i="6"/>
  <c r="L13" i="6"/>
  <c r="L14" i="6"/>
  <c r="L15" i="6"/>
  <c r="L16" i="6"/>
  <c r="L17" i="6"/>
  <c r="L18" i="6"/>
  <c r="L19" i="6"/>
  <c r="L20" i="6"/>
  <c r="L21" i="6"/>
  <c r="L22" i="6"/>
  <c r="L23" i="6"/>
  <c r="L24" i="6"/>
  <c r="L25" i="6"/>
  <c r="L26" i="6"/>
  <c r="L27" i="6"/>
  <c r="L28" i="6"/>
  <c r="L29" i="6"/>
  <c r="L30" i="6"/>
  <c r="AG39" i="6"/>
  <c r="AN22" i="6"/>
  <c r="AN24" i="6"/>
  <c r="AN26" i="6"/>
  <c r="AN28" i="6"/>
  <c r="AN30" i="6"/>
  <c r="AN32" i="6"/>
  <c r="AN34" i="6"/>
  <c r="AN36" i="6"/>
  <c r="AN38" i="6"/>
  <c r="AQ38" i="6" s="1"/>
  <c r="AN40" i="6"/>
  <c r="AG10" i="6"/>
  <c r="AG12" i="6"/>
  <c r="AG14" i="6"/>
  <c r="AF16" i="6"/>
  <c r="AF17" i="6"/>
  <c r="AF18" i="6"/>
  <c r="AF19" i="6"/>
  <c r="AF20" i="6"/>
  <c r="AF21" i="6"/>
  <c r="AF22" i="6"/>
  <c r="AF23" i="6"/>
  <c r="AF24" i="6"/>
  <c r="AF25" i="6"/>
  <c r="AF26" i="6"/>
  <c r="AF27" i="6"/>
  <c r="AF28" i="6"/>
  <c r="AF29" i="6"/>
  <c r="AF30" i="6"/>
  <c r="AF31" i="6"/>
  <c r="AF32" i="6"/>
  <c r="AF33" i="6"/>
  <c r="AF34" i="6"/>
  <c r="AF35" i="6"/>
  <c r="AF36" i="6"/>
  <c r="AF37" i="6"/>
  <c r="AF38" i="6"/>
  <c r="AF39" i="6"/>
  <c r="AF40" i="6"/>
  <c r="W10" i="6"/>
  <c r="X11" i="6"/>
  <c r="X10" i="6"/>
  <c r="V12" i="6"/>
  <c r="U13" i="6"/>
  <c r="V14" i="6"/>
  <c r="U15" i="6"/>
  <c r="V16" i="6"/>
  <c r="U17" i="6"/>
  <c r="V18" i="6"/>
  <c r="U19" i="6"/>
  <c r="V20" i="6"/>
  <c r="U21" i="6"/>
  <c r="V22" i="6"/>
  <c r="U23" i="6"/>
  <c r="V24" i="6"/>
  <c r="U25" i="6"/>
  <c r="V26" i="6"/>
  <c r="U27" i="6"/>
  <c r="V28" i="6"/>
  <c r="U29" i="6"/>
  <c r="V30" i="6"/>
  <c r="U31" i="6"/>
  <c r="V32" i="6"/>
  <c r="U33" i="6"/>
  <c r="V34" i="6"/>
  <c r="U35" i="6"/>
  <c r="V36" i="6"/>
  <c r="U37" i="6"/>
  <c r="V38" i="6"/>
  <c r="U39" i="6"/>
  <c r="U40" i="6"/>
  <c r="M11" i="6"/>
  <c r="M12" i="6"/>
  <c r="M13" i="6"/>
  <c r="M14" i="6"/>
  <c r="M15" i="6"/>
  <c r="M16" i="6"/>
  <c r="M17" i="6"/>
  <c r="M18" i="6"/>
  <c r="M19" i="6"/>
  <c r="M20" i="6"/>
  <c r="M21" i="6"/>
  <c r="M22" i="6"/>
  <c r="M23" i="6"/>
  <c r="M24" i="6"/>
  <c r="M25" i="6"/>
  <c r="M26" i="6"/>
  <c r="M27" i="6"/>
  <c r="M28" i="6"/>
  <c r="M29" i="6"/>
  <c r="M30" i="6"/>
  <c r="M31" i="6"/>
  <c r="M32" i="6"/>
  <c r="M33" i="6"/>
  <c r="M34" i="6"/>
  <c r="M35" i="6"/>
  <c r="M36" i="6"/>
  <c r="M37" i="6"/>
  <c r="M38" i="6"/>
  <c r="M39" i="6"/>
  <c r="M40" i="6"/>
  <c r="N10" i="6"/>
  <c r="W12" i="6"/>
  <c r="X13" i="6"/>
  <c r="W14" i="6"/>
  <c r="X15" i="6"/>
  <c r="W16" i="6"/>
  <c r="X17" i="6"/>
  <c r="W18" i="6"/>
  <c r="X19" i="6"/>
  <c r="W20" i="6"/>
  <c r="X21" i="6"/>
  <c r="W22" i="6"/>
  <c r="X23" i="6"/>
  <c r="W24" i="6"/>
  <c r="X25" i="6"/>
  <c r="W26" i="6"/>
  <c r="X27" i="6"/>
  <c r="W28" i="6"/>
  <c r="X29" i="6"/>
  <c r="W30" i="6"/>
  <c r="X31" i="6"/>
  <c r="W32" i="6"/>
  <c r="X33" i="6"/>
  <c r="W34" i="6"/>
  <c r="X35" i="6"/>
  <c r="W36" i="6"/>
  <c r="X37" i="6"/>
  <c r="W38" i="6"/>
  <c r="X39" i="6"/>
  <c r="X40" i="6"/>
  <c r="N11" i="6"/>
  <c r="N12" i="6"/>
  <c r="N13" i="6"/>
  <c r="N14" i="6"/>
  <c r="N15" i="6"/>
  <c r="N16" i="6"/>
  <c r="N17" i="6"/>
  <c r="N18" i="6"/>
  <c r="N19" i="6"/>
  <c r="N20" i="6"/>
  <c r="N21" i="6"/>
  <c r="N22" i="6"/>
  <c r="N23" i="6"/>
  <c r="N24" i="6"/>
  <c r="N25" i="6"/>
  <c r="N26" i="6"/>
  <c r="N27" i="6"/>
  <c r="N28" i="6"/>
  <c r="N29" i="6"/>
  <c r="N30" i="6"/>
  <c r="N31" i="6"/>
  <c r="N32" i="6"/>
  <c r="N33" i="6"/>
  <c r="N34" i="6"/>
  <c r="N35" i="6"/>
  <c r="N36" i="6"/>
  <c r="N37" i="6"/>
  <c r="N38" i="6"/>
  <c r="N39" i="6"/>
  <c r="N40" i="6"/>
  <c r="O10" i="6"/>
  <c r="L31" i="6"/>
  <c r="L32" i="6"/>
  <c r="L33" i="6"/>
  <c r="L34" i="6"/>
  <c r="L35" i="6"/>
  <c r="L36" i="6"/>
  <c r="L37" i="6"/>
  <c r="L38" i="6"/>
  <c r="L39" i="6"/>
  <c r="L40" i="6"/>
  <c r="M10" i="6"/>
  <c r="E33" i="6"/>
  <c r="AB33" i="6" s="1"/>
  <c r="E26" i="6"/>
  <c r="AB26" i="6" s="1"/>
  <c r="E17" i="6"/>
  <c r="AB17" i="6" s="1"/>
  <c r="E11" i="6"/>
  <c r="AB11" i="6" s="1"/>
  <c r="E7" i="6"/>
  <c r="AB7" i="6" s="1"/>
  <c r="AE7" i="1"/>
  <c r="AE29" i="1"/>
  <c r="AE23" i="1"/>
  <c r="AE17" i="1"/>
  <c r="AE11" i="1"/>
  <c r="AE26" i="1"/>
  <c r="AE10" i="1"/>
  <c r="AE6" i="1"/>
  <c r="E30" i="6"/>
  <c r="AB30" i="6" s="1"/>
  <c r="E23" i="6"/>
  <c r="AB23" i="6" s="1"/>
  <c r="E12" i="6"/>
  <c r="AB12" i="6" s="1"/>
  <c r="E10" i="6"/>
  <c r="AB10" i="6" s="1"/>
  <c r="E8" i="6"/>
  <c r="AB8" i="6" s="1"/>
  <c r="E6" i="6"/>
  <c r="AB6" i="6" s="1"/>
  <c r="AE12" i="1"/>
  <c r="AE32" i="1"/>
  <c r="AE4" i="1"/>
  <c r="AE9" i="1"/>
  <c r="D28" i="6"/>
  <c r="S28" i="6" s="1"/>
  <c r="D10" i="6"/>
  <c r="S10" i="6" s="1"/>
  <c r="Y10" i="1"/>
  <c r="D31" i="6"/>
  <c r="S31" i="6" s="1"/>
  <c r="D29" i="6"/>
  <c r="S29" i="6" s="1"/>
  <c r="D11" i="6"/>
  <c r="S11" i="6" s="1"/>
  <c r="D9" i="6"/>
  <c r="S9" i="6" s="1"/>
  <c r="AR24" i="1"/>
  <c r="AR22" i="1"/>
  <c r="AR18" i="1"/>
  <c r="AR16" i="1"/>
  <c r="AR11" i="1"/>
  <c r="AS11" i="1" s="1"/>
  <c r="AR10" i="1"/>
  <c r="AS10" i="1" s="1"/>
  <c r="AR7" i="1"/>
  <c r="AR6" i="1"/>
  <c r="AS6" i="1" s="1"/>
  <c r="AR30" i="1"/>
  <c r="AR25" i="1"/>
  <c r="AS25" i="1" s="1"/>
  <c r="AQ19" i="1"/>
  <c r="AU19" i="1"/>
  <c r="AQ14" i="1"/>
  <c r="AU14" i="1"/>
  <c r="S30" i="1"/>
  <c r="C33" i="6"/>
  <c r="J33" i="6" s="1"/>
  <c r="S32" i="1"/>
  <c r="S26" i="1"/>
  <c r="AR8" i="1"/>
  <c r="AS8" i="1" s="1"/>
  <c r="AK31" i="1"/>
  <c r="J8" i="6"/>
  <c r="AY25" i="1"/>
  <c r="BC25" i="1" s="1"/>
  <c r="AT17" i="1"/>
  <c r="AV17" i="1" s="1"/>
  <c r="AW17" i="1" s="1"/>
  <c r="AR12" i="1"/>
  <c r="AS12" i="1" s="1"/>
  <c r="S19" i="1"/>
  <c r="AK19" i="1"/>
  <c r="AK15" i="1"/>
  <c r="S29" i="1"/>
  <c r="AR29" i="1"/>
  <c r="AS29" i="1" s="1"/>
  <c r="AR28" i="1"/>
  <c r="AK33" i="1"/>
  <c r="F33" i="6"/>
  <c r="AK33" i="6" s="1"/>
  <c r="F32" i="6"/>
  <c r="AK32" i="6" s="1"/>
  <c r="AK32" i="1"/>
  <c r="F31" i="6"/>
  <c r="AK31" i="6" s="1"/>
  <c r="F29" i="6"/>
  <c r="AK29" i="6" s="1"/>
  <c r="AK29" i="1"/>
  <c r="F28" i="6"/>
  <c r="AK28" i="6" s="1"/>
  <c r="AK28" i="1"/>
  <c r="F27" i="6"/>
  <c r="AK27" i="6" s="1"/>
  <c r="AM7" i="6" s="1"/>
  <c r="AK27" i="1"/>
  <c r="F21" i="6"/>
  <c r="AK21" i="6" s="1"/>
  <c r="AK22" i="1"/>
  <c r="AK20" i="1"/>
  <c r="AK18" i="1"/>
  <c r="AK21" i="1"/>
  <c r="F22" i="6"/>
  <c r="AK22" i="6" s="1"/>
  <c r="F20" i="6"/>
  <c r="AK20" i="6" s="1"/>
  <c r="F18" i="6"/>
  <c r="AK18" i="6" s="1"/>
  <c r="F14" i="6"/>
  <c r="AK14" i="6" s="1"/>
  <c r="AK16" i="1"/>
  <c r="AK14" i="1"/>
  <c r="AK13" i="1"/>
  <c r="F15" i="6"/>
  <c r="AK15" i="6" s="1"/>
  <c r="F13" i="6"/>
  <c r="AK13" i="6" s="1"/>
  <c r="F8" i="6"/>
  <c r="AK8" i="6" s="1"/>
  <c r="AO4" i="6" s="1"/>
  <c r="AK8" i="1"/>
  <c r="F3" i="6"/>
  <c r="AK3" i="6" s="1"/>
  <c r="F4" i="6"/>
  <c r="AK4" i="6" s="1"/>
  <c r="AK5" i="1"/>
  <c r="AK3" i="1"/>
  <c r="AK4" i="1"/>
  <c r="E27" i="6"/>
  <c r="AB27" i="6" s="1"/>
  <c r="AD7" i="6" s="1"/>
  <c r="AE27" i="1"/>
  <c r="E29" i="6"/>
  <c r="AB29" i="6" s="1"/>
  <c r="E28" i="6"/>
  <c r="AB28" i="6" s="1"/>
  <c r="AE28" i="1"/>
  <c r="E31" i="6"/>
  <c r="AB31" i="6" s="1"/>
  <c r="AE33" i="1"/>
  <c r="AE31" i="1"/>
  <c r="E20" i="6"/>
  <c r="AB20" i="6" s="1"/>
  <c r="AE20" i="1"/>
  <c r="E22" i="6"/>
  <c r="AB22" i="6" s="1"/>
  <c r="E18" i="6"/>
  <c r="AB18" i="6" s="1"/>
  <c r="AE21" i="1"/>
  <c r="AE19" i="1"/>
  <c r="AE22" i="1"/>
  <c r="AE18" i="1"/>
  <c r="E21" i="6"/>
  <c r="AB21" i="6" s="1"/>
  <c r="E19" i="6"/>
  <c r="AB19" i="6" s="1"/>
  <c r="AE16" i="1"/>
  <c r="E16" i="6"/>
  <c r="AB16" i="6" s="1"/>
  <c r="E14" i="6"/>
  <c r="AB14" i="6" s="1"/>
  <c r="AE15" i="1"/>
  <c r="AE13" i="1"/>
  <c r="AE14" i="1"/>
  <c r="E15" i="6"/>
  <c r="AB15" i="6" s="1"/>
  <c r="E13" i="6"/>
  <c r="AB13" i="6" s="1"/>
  <c r="E5" i="6"/>
  <c r="AB5" i="6" s="1"/>
  <c r="AE3" i="1"/>
  <c r="E3" i="6"/>
  <c r="AB3" i="6" s="1"/>
  <c r="AE5" i="1"/>
  <c r="Y33" i="1"/>
  <c r="Y32" i="1"/>
  <c r="D32" i="6"/>
  <c r="S32" i="6" s="1"/>
  <c r="Y31" i="1"/>
  <c r="Y27" i="1"/>
  <c r="D27" i="6"/>
  <c r="S27" i="6" s="1"/>
  <c r="X7" i="6" s="1"/>
  <c r="D18" i="6"/>
  <c r="S18" i="6" s="1"/>
  <c r="Y18" i="1"/>
  <c r="D21" i="6"/>
  <c r="S21" i="6" s="1"/>
  <c r="D19" i="6"/>
  <c r="S19" i="6" s="1"/>
  <c r="Y21" i="1"/>
  <c r="Y19" i="1"/>
  <c r="D16" i="6"/>
  <c r="S16" i="6" s="1"/>
  <c r="Y13" i="1"/>
  <c r="Y16" i="1"/>
  <c r="D15" i="6"/>
  <c r="S15" i="6" s="1"/>
  <c r="D13" i="6"/>
  <c r="S13" i="6" s="1"/>
  <c r="AR33" i="1"/>
  <c r="AS33" i="1" s="1"/>
  <c r="S33" i="1"/>
  <c r="AR32" i="1"/>
  <c r="AR31" i="1"/>
  <c r="AS31" i="1" s="1"/>
  <c r="AR27" i="1"/>
  <c r="AS27" i="1" s="1"/>
  <c r="S27" i="1"/>
  <c r="AR21" i="1"/>
  <c r="AS21" i="1" s="1"/>
  <c r="AR20" i="1"/>
  <c r="AR19" i="1"/>
  <c r="J16" i="6"/>
  <c r="S16" i="1"/>
  <c r="AR15" i="1"/>
  <c r="AR14" i="1"/>
  <c r="AR13" i="1"/>
  <c r="AI5" i="4"/>
  <c r="AH7" i="4"/>
  <c r="AH6" i="4"/>
  <c r="AQ3" i="1"/>
  <c r="AQ30" i="1"/>
  <c r="AU30" i="1"/>
  <c r="AQ26" i="1"/>
  <c r="AS26" i="1" s="1"/>
  <c r="AU26" i="1"/>
  <c r="AQ22" i="1"/>
  <c r="AU22" i="1"/>
  <c r="AQ18" i="1"/>
  <c r="AU18" i="1"/>
  <c r="AT12" i="1"/>
  <c r="AV12" i="1" s="1"/>
  <c r="AT8" i="1"/>
  <c r="AY8" i="1"/>
  <c r="BC8" i="1" s="1"/>
  <c r="AY4" i="1"/>
  <c r="BC4" i="1" s="1"/>
  <c r="AU33" i="1"/>
  <c r="AY33" i="1" s="1"/>
  <c r="BC33" i="1" s="1"/>
  <c r="AQ32" i="1"/>
  <c r="AU32" i="1"/>
  <c r="AY31" i="1"/>
  <c r="BC31" i="1" s="1"/>
  <c r="AQ28" i="1"/>
  <c r="AU28" i="1"/>
  <c r="AY27" i="1"/>
  <c r="BC27" i="1" s="1"/>
  <c r="AQ24" i="1"/>
  <c r="AU24" i="1"/>
  <c r="AY23" i="1"/>
  <c r="BC23" i="1" s="1"/>
  <c r="AQ20" i="1"/>
  <c r="AU20" i="1"/>
  <c r="AQ16" i="1"/>
  <c r="AU16" i="1"/>
  <c r="AQ15" i="1"/>
  <c r="AU15" i="1"/>
  <c r="AQ11" i="1"/>
  <c r="AU11" i="1"/>
  <c r="AQ7" i="1"/>
  <c r="AU7" i="1"/>
  <c r="AY6" i="1"/>
  <c r="BC6" i="1" s="1"/>
  <c r="AQ13" i="1"/>
  <c r="AU13" i="1"/>
  <c r="AQ9" i="1"/>
  <c r="AU9" i="1"/>
  <c r="AQ5" i="1"/>
  <c r="AU5" i="1"/>
  <c r="AI9" i="4"/>
  <c r="O5" i="4"/>
  <c r="O7" i="4"/>
  <c r="O9" i="4"/>
  <c r="AF10" i="4"/>
  <c r="AH8" i="4"/>
  <c r="AG10" i="4"/>
  <c r="AH5" i="4"/>
  <c r="AI7" i="4"/>
  <c r="AH9" i="4"/>
  <c r="AH4" i="4"/>
  <c r="I7" i="4"/>
  <c r="B3" i="5"/>
  <c r="E3" i="4"/>
  <c r="E5" i="4"/>
  <c r="E7" i="4"/>
  <c r="E6" i="4"/>
  <c r="E8" i="4"/>
  <c r="AI4" i="4"/>
  <c r="AI6" i="4"/>
  <c r="AI8" i="4"/>
  <c r="AI3" i="4"/>
  <c r="AH3" i="4"/>
  <c r="O4" i="4"/>
  <c r="O6" i="4"/>
  <c r="O8" i="4"/>
  <c r="N10" i="4"/>
  <c r="M10" i="4"/>
  <c r="B3" i="10" s="1"/>
  <c r="O3" i="4"/>
  <c r="E4" i="4"/>
  <c r="Y3" i="1"/>
  <c r="AC9" i="4" l="1"/>
  <c r="AB9" i="4"/>
  <c r="AB8" i="4"/>
  <c r="AC8" i="4"/>
  <c r="AE30" i="1"/>
  <c r="AE24" i="1"/>
  <c r="AC6" i="4"/>
  <c r="AC5" i="4"/>
  <c r="AB3" i="4"/>
  <c r="AC3" i="4"/>
  <c r="AE8" i="1"/>
  <c r="AA4" i="4"/>
  <c r="AA10" i="4" s="1"/>
  <c r="AC10" i="4" s="1"/>
  <c r="AS9" i="1"/>
  <c r="AT14" i="1"/>
  <c r="AV14" i="1" s="1"/>
  <c r="AZ14" i="1" s="1"/>
  <c r="BB14" i="1" s="1"/>
  <c r="S21" i="1"/>
  <c r="S23" i="1"/>
  <c r="D33" i="6"/>
  <c r="S33" i="6" s="1"/>
  <c r="S15" i="1"/>
  <c r="AT23" i="1"/>
  <c r="AV23" i="1" s="1"/>
  <c r="AW23" i="1" s="1"/>
  <c r="R9" i="4"/>
  <c r="AQ36" i="6"/>
  <c r="G9" i="4"/>
  <c r="H9" i="4" s="1"/>
  <c r="C25" i="6"/>
  <c r="J25" i="6" s="1"/>
  <c r="AO8" i="6"/>
  <c r="AX17" i="1"/>
  <c r="AQ40" i="6"/>
  <c r="AR40" i="6" s="1"/>
  <c r="AJ60" i="4" s="1"/>
  <c r="Y7" i="1"/>
  <c r="AT19" i="1"/>
  <c r="AV19" i="1" s="1"/>
  <c r="AZ19" i="1" s="1"/>
  <c r="BD19" i="1" s="1"/>
  <c r="X11" i="1"/>
  <c r="Y11" i="1" s="1"/>
  <c r="X23" i="1"/>
  <c r="Y23" i="1" s="1"/>
  <c r="X20" i="1"/>
  <c r="D20" i="6"/>
  <c r="S20" i="6" s="1"/>
  <c r="X28" i="1"/>
  <c r="Y28" i="1"/>
  <c r="AS19" i="1"/>
  <c r="Y20" i="1"/>
  <c r="C27" i="6"/>
  <c r="J27" i="6" s="1"/>
  <c r="N7" i="6" s="1"/>
  <c r="G5" i="4"/>
  <c r="X29" i="1"/>
  <c r="Y29" i="1"/>
  <c r="G6" i="4"/>
  <c r="X8" i="1"/>
  <c r="D8" i="6"/>
  <c r="S8" i="6" s="1"/>
  <c r="G8" i="4"/>
  <c r="X9" i="1"/>
  <c r="Y9" i="1" s="1"/>
  <c r="X6" i="1"/>
  <c r="Y6" i="1" s="1"/>
  <c r="D6" i="6"/>
  <c r="S6" i="6" s="1"/>
  <c r="X22" i="1"/>
  <c r="Y22" i="1" s="1"/>
  <c r="D22" i="6"/>
  <c r="S22" i="6" s="1"/>
  <c r="D23" i="6"/>
  <c r="S23" i="6" s="1"/>
  <c r="C13" i="6"/>
  <c r="J13" i="6" s="1"/>
  <c r="X15" i="1"/>
  <c r="Y15" i="1" s="1"/>
  <c r="X26" i="1"/>
  <c r="Y26" i="1" s="1"/>
  <c r="D26" i="6"/>
  <c r="S26" i="6" s="1"/>
  <c r="H4" i="4"/>
  <c r="I4" i="4"/>
  <c r="X24" i="1"/>
  <c r="Y24" i="1" s="1"/>
  <c r="D24" i="6"/>
  <c r="S24" i="6" s="1"/>
  <c r="X25" i="1"/>
  <c r="Y25" i="1" s="1"/>
  <c r="P10" i="4"/>
  <c r="AT28" i="1"/>
  <c r="R7" i="4"/>
  <c r="S7" i="4"/>
  <c r="X12" i="1"/>
  <c r="Y12" i="1" s="1"/>
  <c r="D12" i="6"/>
  <c r="S12" i="6" s="1"/>
  <c r="X17" i="1"/>
  <c r="Y17" i="1" s="1"/>
  <c r="X14" i="1"/>
  <c r="Y14" i="1" s="1"/>
  <c r="D14" i="6"/>
  <c r="S14" i="6" s="1"/>
  <c r="V5" i="6" s="1"/>
  <c r="X30" i="1"/>
  <c r="Y30" i="1" s="1"/>
  <c r="D30" i="6"/>
  <c r="S30" i="6" s="1"/>
  <c r="V8" i="6" s="1"/>
  <c r="C7" i="6"/>
  <c r="J7" i="6" s="1"/>
  <c r="P36" i="6"/>
  <c r="Q36" i="6" s="1"/>
  <c r="P32" i="6"/>
  <c r="Q32" i="6" s="1"/>
  <c r="C3" i="10"/>
  <c r="C8" i="10" s="1"/>
  <c r="AX23" i="1"/>
  <c r="AM5" i="6"/>
  <c r="S11" i="1"/>
  <c r="S10" i="1"/>
  <c r="S12" i="1"/>
  <c r="S9" i="1"/>
  <c r="S22" i="1"/>
  <c r="C22" i="6"/>
  <c r="J22" i="6" s="1"/>
  <c r="S6" i="1"/>
  <c r="C6" i="6"/>
  <c r="J6" i="6" s="1"/>
  <c r="S17" i="1"/>
  <c r="C17" i="6"/>
  <c r="J17" i="6" s="1"/>
  <c r="S20" i="1"/>
  <c r="C20" i="6"/>
  <c r="J20" i="6" s="1"/>
  <c r="S31" i="1"/>
  <c r="C31" i="6"/>
  <c r="J31" i="6" s="1"/>
  <c r="L9" i="6" s="1"/>
  <c r="S18" i="1"/>
  <c r="C18" i="6"/>
  <c r="J18" i="6" s="1"/>
  <c r="S28" i="1"/>
  <c r="C28" i="6"/>
  <c r="J28" i="6" s="1"/>
  <c r="L8" i="6" s="1"/>
  <c r="S24" i="1"/>
  <c r="C24" i="6"/>
  <c r="J24" i="6" s="1"/>
  <c r="S14" i="1"/>
  <c r="C14" i="6"/>
  <c r="J14" i="6" s="1"/>
  <c r="N5" i="6" s="1"/>
  <c r="S7" i="1"/>
  <c r="S13" i="1"/>
  <c r="S8" i="1"/>
  <c r="L5" i="6"/>
  <c r="AR36" i="6"/>
  <c r="AJ56" i="4" s="1"/>
  <c r="L7" i="6"/>
  <c r="AR38" i="6"/>
  <c r="AJ58" i="4" s="1"/>
  <c r="AY24" i="1"/>
  <c r="BC24" i="1" s="1"/>
  <c r="AT33" i="1"/>
  <c r="AV33" i="1" s="1"/>
  <c r="AX33" i="1" s="1"/>
  <c r="AT21" i="1"/>
  <c r="AV21" i="1" s="1"/>
  <c r="AW21" i="1" s="1"/>
  <c r="AT6" i="1"/>
  <c r="AV6" i="1" s="1"/>
  <c r="AW6" i="1" s="1"/>
  <c r="AY14" i="1"/>
  <c r="BC14" i="1" s="1"/>
  <c r="AY19" i="1"/>
  <c r="BC19" i="1" s="1"/>
  <c r="AS18" i="1"/>
  <c r="P30" i="6"/>
  <c r="Q30" i="6" s="1"/>
  <c r="P26" i="6"/>
  <c r="Q26" i="6" s="1"/>
  <c r="P22" i="6"/>
  <c r="Q22" i="6" s="1"/>
  <c r="P20" i="6"/>
  <c r="Q20" i="6" s="1"/>
  <c r="P14" i="6"/>
  <c r="Q14" i="6" s="1"/>
  <c r="P12" i="6"/>
  <c r="Q12" i="6" s="1"/>
  <c r="U5" i="6"/>
  <c r="V9" i="6"/>
  <c r="AD3" i="6"/>
  <c r="AD5" i="6"/>
  <c r="AG9" i="6"/>
  <c r="AF8" i="6"/>
  <c r="AM3" i="6"/>
  <c r="AO5" i="6"/>
  <c r="AP6" i="6"/>
  <c r="M4" i="6"/>
  <c r="U4" i="6"/>
  <c r="AF4" i="6"/>
  <c r="AG7" i="6"/>
  <c r="P10" i="6"/>
  <c r="Q10" i="6" s="1"/>
  <c r="W8" i="6"/>
  <c r="AF6" i="6"/>
  <c r="W5" i="6"/>
  <c r="AO6" i="6"/>
  <c r="AM9" i="6"/>
  <c r="U9" i="6"/>
  <c r="P39" i="6"/>
  <c r="Q39" i="6" s="1"/>
  <c r="P35" i="6"/>
  <c r="Q35" i="6" s="1"/>
  <c r="P31" i="6"/>
  <c r="Q31" i="6" s="1"/>
  <c r="P27" i="6"/>
  <c r="Q27" i="6" s="1"/>
  <c r="P23" i="6"/>
  <c r="Q23" i="6" s="1"/>
  <c r="P21" i="6"/>
  <c r="Q21" i="6" s="1"/>
  <c r="P19" i="6"/>
  <c r="Q19" i="6" s="1"/>
  <c r="P13" i="6"/>
  <c r="Q13" i="6" s="1"/>
  <c r="AF7" i="6"/>
  <c r="AQ39" i="6"/>
  <c r="AQ35" i="6"/>
  <c r="AN3" i="6"/>
  <c r="AE5" i="6"/>
  <c r="AG3" i="6"/>
  <c r="W4" i="6"/>
  <c r="AN4" i="6"/>
  <c r="O7" i="6"/>
  <c r="AG8" i="6"/>
  <c r="U7" i="6"/>
  <c r="P40" i="6"/>
  <c r="Q40" i="6" s="1"/>
  <c r="AO3" i="6"/>
  <c r="AO7" i="6"/>
  <c r="W9" i="6"/>
  <c r="Y39" i="6"/>
  <c r="Z39" i="6" s="1"/>
  <c r="Y37" i="6"/>
  <c r="Z37" i="6" s="1"/>
  <c r="Y35" i="6"/>
  <c r="Z35" i="6" s="1"/>
  <c r="Y33" i="6"/>
  <c r="Z33" i="6" s="1"/>
  <c r="Y31" i="6"/>
  <c r="Z31" i="6" s="1"/>
  <c r="Y29" i="6"/>
  <c r="Z29" i="6" s="1"/>
  <c r="Y27" i="6"/>
  <c r="Z27" i="6" s="1"/>
  <c r="Y25" i="6"/>
  <c r="Z25" i="6" s="1"/>
  <c r="Y23" i="6"/>
  <c r="Z23" i="6" s="1"/>
  <c r="Y21" i="6"/>
  <c r="Z21" i="6" s="1"/>
  <c r="Y19" i="6"/>
  <c r="Z19" i="6" s="1"/>
  <c r="Y17" i="6"/>
  <c r="Z17" i="6" s="1"/>
  <c r="Y15" i="6"/>
  <c r="Z15" i="6" s="1"/>
  <c r="Y13" i="6"/>
  <c r="Z13" i="6" s="1"/>
  <c r="AD9" i="6"/>
  <c r="P28" i="6"/>
  <c r="Q28" i="6" s="1"/>
  <c r="P24" i="6"/>
  <c r="Q24" i="6" s="1"/>
  <c r="P18" i="6"/>
  <c r="Q18" i="6" s="1"/>
  <c r="P16" i="6"/>
  <c r="Q16" i="6" s="1"/>
  <c r="X9" i="6"/>
  <c r="AD4" i="6"/>
  <c r="AD6" i="6"/>
  <c r="AD8" i="6"/>
  <c r="AM4" i="6"/>
  <c r="AM6" i="6"/>
  <c r="AM8" i="6"/>
  <c r="Y12" i="6"/>
  <c r="Z12" i="6" s="1"/>
  <c r="Y10" i="6"/>
  <c r="Z10" i="6" s="1"/>
  <c r="AH40" i="6"/>
  <c r="AI40" i="6" s="1"/>
  <c r="AH38" i="6"/>
  <c r="AI38" i="6" s="1"/>
  <c r="AH36" i="6"/>
  <c r="AI36" i="6" s="1"/>
  <c r="AH34" i="6"/>
  <c r="AI34" i="6" s="1"/>
  <c r="AH32" i="6"/>
  <c r="AI32" i="6" s="1"/>
  <c r="AH30" i="6"/>
  <c r="AI30" i="6" s="1"/>
  <c r="AH28" i="6"/>
  <c r="AI28" i="6" s="1"/>
  <c r="AH26" i="6"/>
  <c r="AI26" i="6" s="1"/>
  <c r="AH24" i="6"/>
  <c r="AI24" i="6" s="1"/>
  <c r="AH22" i="6"/>
  <c r="AI22" i="6" s="1"/>
  <c r="AH20" i="6"/>
  <c r="AI20" i="6" s="1"/>
  <c r="AH18" i="6"/>
  <c r="AI18" i="6" s="1"/>
  <c r="AN9" i="6"/>
  <c r="AF9" i="6"/>
  <c r="AH15" i="6"/>
  <c r="AI15" i="6" s="1"/>
  <c r="AH13" i="6"/>
  <c r="AI13" i="6" s="1"/>
  <c r="AH11" i="6"/>
  <c r="AI11" i="6" s="1"/>
  <c r="AP9" i="6"/>
  <c r="AQ33" i="6"/>
  <c r="AR33" i="6" s="1"/>
  <c r="AQ31" i="6"/>
  <c r="AR31" i="6" s="1"/>
  <c r="AQ29" i="6"/>
  <c r="AR29" i="6" s="1"/>
  <c r="AQ27" i="6"/>
  <c r="AQ25" i="6"/>
  <c r="AQ23" i="6"/>
  <c r="AQ21" i="6"/>
  <c r="AQ19" i="6"/>
  <c r="AQ17" i="6"/>
  <c r="AQ15" i="6"/>
  <c r="AQ13" i="6"/>
  <c r="AQ11" i="6"/>
  <c r="AQ20" i="6"/>
  <c r="AQ18" i="6"/>
  <c r="AQ16" i="6"/>
  <c r="AQ14" i="6"/>
  <c r="AQ12" i="6"/>
  <c r="AQ10" i="6"/>
  <c r="AN7" i="6"/>
  <c r="V7" i="6"/>
  <c r="M7" i="6"/>
  <c r="AP5" i="6"/>
  <c r="N4" i="6"/>
  <c r="AN8" i="6"/>
  <c r="AE6" i="6"/>
  <c r="X5" i="6"/>
  <c r="AG4" i="6"/>
  <c r="P38" i="6"/>
  <c r="Q38" i="6" s="1"/>
  <c r="P34" i="6"/>
  <c r="Q34" i="6" s="1"/>
  <c r="W7" i="6"/>
  <c r="AF3" i="6"/>
  <c r="AF5" i="6"/>
  <c r="M9" i="6"/>
  <c r="AN5" i="6"/>
  <c r="AE7" i="6"/>
  <c r="AE3" i="6"/>
  <c r="V6" i="6"/>
  <c r="V4" i="6"/>
  <c r="M8" i="6"/>
  <c r="AP7" i="6"/>
  <c r="AP3" i="6"/>
  <c r="AG5" i="6"/>
  <c r="AP8" i="6"/>
  <c r="AN6" i="6"/>
  <c r="AE8" i="6"/>
  <c r="AE4" i="6"/>
  <c r="X4" i="6"/>
  <c r="O6" i="6"/>
  <c r="O4" i="6"/>
  <c r="AP4" i="6"/>
  <c r="AG6" i="6"/>
  <c r="X8" i="6"/>
  <c r="L4" i="6"/>
  <c r="P37" i="6"/>
  <c r="Q37" i="6" s="1"/>
  <c r="P33" i="6"/>
  <c r="Q33" i="6" s="1"/>
  <c r="Y40" i="6"/>
  <c r="Z40" i="6" s="1"/>
  <c r="AE9" i="6"/>
  <c r="P29" i="6"/>
  <c r="Q29" i="6" s="1"/>
  <c r="P25" i="6"/>
  <c r="Q25" i="6" s="1"/>
  <c r="P17" i="6"/>
  <c r="Q17" i="6" s="1"/>
  <c r="P15" i="6"/>
  <c r="Q15" i="6" s="1"/>
  <c r="P11" i="6"/>
  <c r="Q11" i="6" s="1"/>
  <c r="Y38" i="6"/>
  <c r="Z38" i="6" s="1"/>
  <c r="Y36" i="6"/>
  <c r="Z36" i="6" s="1"/>
  <c r="Y34" i="6"/>
  <c r="Z34" i="6" s="1"/>
  <c r="Y32" i="6"/>
  <c r="Z32" i="6" s="1"/>
  <c r="Y30" i="6"/>
  <c r="Z30" i="6" s="1"/>
  <c r="Y28" i="6"/>
  <c r="Z28" i="6" s="1"/>
  <c r="Y26" i="6"/>
  <c r="Z26" i="6" s="1"/>
  <c r="Y24" i="6"/>
  <c r="Z24" i="6" s="1"/>
  <c r="Y22" i="6"/>
  <c r="Z22" i="6" s="1"/>
  <c r="Y20" i="6"/>
  <c r="Z20" i="6" s="1"/>
  <c r="Y18" i="6"/>
  <c r="Z18" i="6" s="1"/>
  <c r="Y16" i="6"/>
  <c r="Z16" i="6" s="1"/>
  <c r="Y14" i="6"/>
  <c r="Z14" i="6" s="1"/>
  <c r="Y11" i="6"/>
  <c r="Z11" i="6" s="1"/>
  <c r="AH39" i="6"/>
  <c r="AI39" i="6" s="1"/>
  <c r="AH37" i="6"/>
  <c r="AI37" i="6" s="1"/>
  <c r="AH35" i="6"/>
  <c r="AI35" i="6" s="1"/>
  <c r="AH33" i="6"/>
  <c r="AI33" i="6" s="1"/>
  <c r="AH31" i="6"/>
  <c r="AI31" i="6" s="1"/>
  <c r="AH29" i="6"/>
  <c r="AI29" i="6" s="1"/>
  <c r="AH27" i="6"/>
  <c r="AI27" i="6" s="1"/>
  <c r="AH25" i="6"/>
  <c r="AI25" i="6" s="1"/>
  <c r="AH23" i="6"/>
  <c r="AI23" i="6" s="1"/>
  <c r="AH21" i="6"/>
  <c r="AI21" i="6" s="1"/>
  <c r="AH19" i="6"/>
  <c r="AI19" i="6" s="1"/>
  <c r="AH17" i="6"/>
  <c r="AI17" i="6" s="1"/>
  <c r="AO9" i="6"/>
  <c r="AQ37" i="6"/>
  <c r="AH16" i="6"/>
  <c r="AI16" i="6" s="1"/>
  <c r="AH14" i="6"/>
  <c r="AI14" i="6" s="1"/>
  <c r="AH12" i="6"/>
  <c r="AI12" i="6" s="1"/>
  <c r="AH10" i="6"/>
  <c r="AI10" i="6" s="1"/>
  <c r="AQ34" i="6"/>
  <c r="AQ32" i="6"/>
  <c r="AR32" i="6" s="1"/>
  <c r="AQ30" i="6"/>
  <c r="AR30" i="6" s="1"/>
  <c r="AQ28" i="6"/>
  <c r="AR28" i="6" s="1"/>
  <c r="AQ26" i="6"/>
  <c r="AQ24" i="6"/>
  <c r="AQ22" i="6"/>
  <c r="AX6" i="1"/>
  <c r="AZ17" i="1"/>
  <c r="BB17" i="1" s="1"/>
  <c r="AZ23" i="1"/>
  <c r="BB23" i="1" s="1"/>
  <c r="AV28" i="1"/>
  <c r="AW28" i="1" s="1"/>
  <c r="AZ6" i="1"/>
  <c r="BD6" i="1" s="1"/>
  <c r="AY13" i="1"/>
  <c r="BC13" i="1" s="1"/>
  <c r="AZ21" i="1"/>
  <c r="BD21" i="1" s="1"/>
  <c r="AY32" i="1"/>
  <c r="BC32" i="1" s="1"/>
  <c r="AV8" i="1"/>
  <c r="AX8" i="1" s="1"/>
  <c r="AS14" i="1"/>
  <c r="AW19" i="1"/>
  <c r="AT25" i="1"/>
  <c r="AV25" i="1" s="1"/>
  <c r="AT10" i="1"/>
  <c r="AV10" i="1" s="1"/>
  <c r="AT29" i="1"/>
  <c r="AV29" i="1" s="1"/>
  <c r="AX21" i="1"/>
  <c r="AT31" i="1"/>
  <c r="AS28" i="1"/>
  <c r="AT27" i="1"/>
  <c r="AT20" i="1"/>
  <c r="AV20" i="1" s="1"/>
  <c r="AW20" i="1" s="1"/>
  <c r="AX19" i="1"/>
  <c r="AS20" i="1"/>
  <c r="AY16" i="1"/>
  <c r="BC16" i="1" s="1"/>
  <c r="AW14" i="1"/>
  <c r="AX14" i="1"/>
  <c r="AI10" i="4"/>
  <c r="I77" i="4" s="1"/>
  <c r="AY5" i="1"/>
  <c r="BC5" i="1" s="1"/>
  <c r="AY3" i="1"/>
  <c r="BC3" i="1" s="1"/>
  <c r="AY7" i="1"/>
  <c r="BC7" i="1" s="1"/>
  <c r="AT7" i="1"/>
  <c r="AV7" i="1" s="1"/>
  <c r="AT15" i="1"/>
  <c r="AV15" i="1" s="1"/>
  <c r="AY15" i="1"/>
  <c r="BC15" i="1" s="1"/>
  <c r="AX12" i="1"/>
  <c r="AZ12" i="1"/>
  <c r="AW12" i="1"/>
  <c r="AS13" i="1"/>
  <c r="AY22" i="1"/>
  <c r="BC22" i="1" s="1"/>
  <c r="AT22" i="1"/>
  <c r="AV22" i="1" s="1"/>
  <c r="AY30" i="1"/>
  <c r="BC30" i="1" s="1"/>
  <c r="AT30" i="1"/>
  <c r="AV30" i="1" s="1"/>
  <c r="AW33" i="1"/>
  <c r="AZ33" i="1"/>
  <c r="AS7" i="1"/>
  <c r="AY9" i="1"/>
  <c r="BC9" i="1" s="1"/>
  <c r="AS15" i="1"/>
  <c r="AY11" i="1"/>
  <c r="BC11" i="1" s="1"/>
  <c r="AT11" i="1"/>
  <c r="AV11" i="1" s="1"/>
  <c r="AT16" i="1"/>
  <c r="AV16" i="1" s="1"/>
  <c r="AY20" i="1"/>
  <c r="BC20" i="1" s="1"/>
  <c r="AS22" i="1"/>
  <c r="AT24" i="1"/>
  <c r="AV24" i="1" s="1"/>
  <c r="AY28" i="1"/>
  <c r="BC28" i="1" s="1"/>
  <c r="AS30" i="1"/>
  <c r="AT32" i="1"/>
  <c r="AV32" i="1" s="1"/>
  <c r="AT9" i="1"/>
  <c r="AV9" i="1" s="1"/>
  <c r="AT13" i="1"/>
  <c r="AS16" i="1"/>
  <c r="AY18" i="1"/>
  <c r="BC18" i="1" s="1"/>
  <c r="AT18" i="1"/>
  <c r="AS24" i="1"/>
  <c r="AY26" i="1"/>
  <c r="BC26" i="1" s="1"/>
  <c r="AT26" i="1"/>
  <c r="AV26" i="1" s="1"/>
  <c r="AS32" i="1"/>
  <c r="O10" i="4"/>
  <c r="D3" i="10" s="1"/>
  <c r="AH10" i="4"/>
  <c r="AB10" i="4" l="1"/>
  <c r="AB4" i="4"/>
  <c r="AC4" i="4"/>
  <c r="M6" i="6"/>
  <c r="N6" i="6"/>
  <c r="W6" i="6"/>
  <c r="X6" i="6"/>
  <c r="S9" i="4"/>
  <c r="O8" i="6"/>
  <c r="O5" i="6"/>
  <c r="N9" i="6"/>
  <c r="M5" i="6"/>
  <c r="AQ6" i="6"/>
  <c r="AR6" i="6" s="1"/>
  <c r="U8" i="6"/>
  <c r="Y8" i="6" s="1"/>
  <c r="Z8" i="6" s="1"/>
  <c r="O9" i="6"/>
  <c r="AH4" i="6"/>
  <c r="Y9" i="6"/>
  <c r="Z9" i="6" s="1"/>
  <c r="BB21" i="1"/>
  <c r="U6" i="6"/>
  <c r="Y6" i="6" s="1"/>
  <c r="H8" i="4"/>
  <c r="I8" i="4"/>
  <c r="Y8" i="1"/>
  <c r="H5" i="4"/>
  <c r="I5" i="4"/>
  <c r="BD17" i="1"/>
  <c r="AH9" i="6"/>
  <c r="N8" i="6"/>
  <c r="P8" i="6" s="1"/>
  <c r="Q8" i="6" s="1"/>
  <c r="H6" i="4"/>
  <c r="I6" i="4"/>
  <c r="E77" i="4"/>
  <c r="P4" i="6"/>
  <c r="Q4" i="6" s="1"/>
  <c r="AQ8" i="6"/>
  <c r="AR8" i="6" s="1"/>
  <c r="AJ8" i="4" s="1"/>
  <c r="AQ5" i="6"/>
  <c r="AR5" i="6" s="1"/>
  <c r="Z4" i="6"/>
  <c r="AQ7" i="6"/>
  <c r="AR7" i="6" s="1"/>
  <c r="AJ7" i="4" s="1"/>
  <c r="BD23" i="1"/>
  <c r="BF23" i="1" s="1"/>
  <c r="BA21" i="1"/>
  <c r="BB19" i="1"/>
  <c r="AX28" i="1"/>
  <c r="L6" i="6"/>
  <c r="P6" i="6" s="1"/>
  <c r="Q6" i="6" s="1"/>
  <c r="AK60" i="4"/>
  <c r="AK58" i="4"/>
  <c r="AK56" i="4"/>
  <c r="AR24" i="6"/>
  <c r="AJ34" i="4" s="1"/>
  <c r="AR37" i="6"/>
  <c r="AJ57" i="4" s="1"/>
  <c r="AR10" i="6"/>
  <c r="AJ15" i="4" s="1"/>
  <c r="AR14" i="6"/>
  <c r="AJ19" i="4" s="1"/>
  <c r="AR18" i="6"/>
  <c r="AJ23" i="4" s="1"/>
  <c r="AR11" i="6"/>
  <c r="AJ16" i="4" s="1"/>
  <c r="AR15" i="6"/>
  <c r="AJ20" i="4" s="1"/>
  <c r="AR19" i="6"/>
  <c r="AJ29" i="4" s="1"/>
  <c r="AR23" i="6"/>
  <c r="AJ33" i="4" s="1"/>
  <c r="AR27" i="6"/>
  <c r="AJ42" i="4" s="1"/>
  <c r="AR35" i="6"/>
  <c r="AJ55" i="4" s="1"/>
  <c r="AR22" i="6"/>
  <c r="AJ32" i="4" s="1"/>
  <c r="AR26" i="6"/>
  <c r="AJ36" i="4" s="1"/>
  <c r="AR34" i="6"/>
  <c r="AJ54" i="4" s="1"/>
  <c r="AR12" i="6"/>
  <c r="AJ17" i="4" s="1"/>
  <c r="AR16" i="6"/>
  <c r="AJ21" i="4" s="1"/>
  <c r="AR20" i="6"/>
  <c r="AJ30" i="4" s="1"/>
  <c r="AR13" i="6"/>
  <c r="AJ18" i="4" s="1"/>
  <c r="AR17" i="6"/>
  <c r="AJ22" i="4" s="1"/>
  <c r="AR21" i="6"/>
  <c r="AJ31" i="4" s="1"/>
  <c r="AR25" i="6"/>
  <c r="AJ35" i="4" s="1"/>
  <c r="AR39" i="6"/>
  <c r="AJ59" i="4" s="1"/>
  <c r="AZ28" i="1"/>
  <c r="BD28" i="1" s="1"/>
  <c r="AC33" i="4"/>
  <c r="AC55" i="4"/>
  <c r="AC59" i="4"/>
  <c r="AC30" i="4"/>
  <c r="AC34" i="4"/>
  <c r="AC56" i="4"/>
  <c r="AC60" i="4"/>
  <c r="AC31" i="4"/>
  <c r="AC35" i="4"/>
  <c r="AC57" i="4"/>
  <c r="AC32" i="4"/>
  <c r="AC36" i="4"/>
  <c r="AC58" i="4"/>
  <c r="AJ44" i="4"/>
  <c r="AJ43" i="4"/>
  <c r="AJ46" i="4"/>
  <c r="AC54" i="4"/>
  <c r="AJ47" i="4"/>
  <c r="AJ45" i="4"/>
  <c r="AJ48" i="4"/>
  <c r="AZ8" i="1"/>
  <c r="BD8" i="1" s="1"/>
  <c r="BA6" i="1"/>
  <c r="AC42" i="4"/>
  <c r="AJ5" i="4"/>
  <c r="AH8" i="6"/>
  <c r="AI8" i="6" s="1"/>
  <c r="AQ9" i="6"/>
  <c r="AR9" i="6" s="1"/>
  <c r="AJ6" i="4"/>
  <c r="AI4" i="6"/>
  <c r="BB6" i="1"/>
  <c r="AI9" i="6"/>
  <c r="BA17" i="1"/>
  <c r="BA23" i="1"/>
  <c r="AW8" i="1"/>
  <c r="AV18" i="1"/>
  <c r="AW18" i="1" s="1"/>
  <c r="AZ10" i="1"/>
  <c r="AW10" i="1"/>
  <c r="AX10" i="1"/>
  <c r="AZ25" i="1"/>
  <c r="AW25" i="1"/>
  <c r="AX25" i="1"/>
  <c r="AV13" i="1"/>
  <c r="AZ13" i="1" s="1"/>
  <c r="AV27" i="1"/>
  <c r="AW27" i="1" s="1"/>
  <c r="AV31" i="1"/>
  <c r="AW31" i="1" s="1"/>
  <c r="AZ29" i="1"/>
  <c r="AW29" i="1"/>
  <c r="AX29" i="1"/>
  <c r="AQ4" i="6"/>
  <c r="AR4" i="6" s="1"/>
  <c r="AQ3" i="6"/>
  <c r="AR3" i="6" s="1"/>
  <c r="AJ3" i="4" s="1"/>
  <c r="AH7" i="6"/>
  <c r="AH6" i="6"/>
  <c r="AH5" i="6"/>
  <c r="AH3" i="6"/>
  <c r="Y7" i="6"/>
  <c r="BA19" i="1"/>
  <c r="AX20" i="1"/>
  <c r="BD14" i="1"/>
  <c r="BF14" i="1" s="1"/>
  <c r="BA14" i="1"/>
  <c r="Y5" i="6"/>
  <c r="P7" i="6"/>
  <c r="Q7" i="6" s="1"/>
  <c r="P9" i="6"/>
  <c r="Q9" i="6" s="1"/>
  <c r="AZ20" i="1"/>
  <c r="BB20" i="1" s="1"/>
  <c r="BF21" i="1"/>
  <c r="BE21" i="1"/>
  <c r="AW11" i="1"/>
  <c r="AZ11" i="1"/>
  <c r="AX11" i="1"/>
  <c r="AW30" i="1"/>
  <c r="AZ30" i="1"/>
  <c r="AX30" i="1"/>
  <c r="BF19" i="1"/>
  <c r="BE19" i="1"/>
  <c r="BB12" i="1"/>
  <c r="BD12" i="1"/>
  <c r="BA12" i="1"/>
  <c r="AX15" i="1"/>
  <c r="AZ15" i="1"/>
  <c r="AW15" i="1"/>
  <c r="AW26" i="1"/>
  <c r="AZ26" i="1"/>
  <c r="AX26" i="1"/>
  <c r="BE23" i="1"/>
  <c r="AW9" i="1"/>
  <c r="AX9" i="1"/>
  <c r="AZ9" i="1"/>
  <c r="AW32" i="1"/>
  <c r="AX32" i="1"/>
  <c r="AZ32" i="1"/>
  <c r="AW24" i="1"/>
  <c r="AX24" i="1"/>
  <c r="AZ24" i="1"/>
  <c r="AW16" i="1"/>
  <c r="AX16" i="1"/>
  <c r="AZ16" i="1"/>
  <c r="BF6" i="1"/>
  <c r="BE6" i="1"/>
  <c r="BA33" i="1"/>
  <c r="BB33" i="1"/>
  <c r="BD33" i="1"/>
  <c r="AW22" i="1"/>
  <c r="AZ22" i="1"/>
  <c r="AX22" i="1"/>
  <c r="BB8" i="1"/>
  <c r="BB28" i="1"/>
  <c r="BD20" i="1"/>
  <c r="BF17" i="1"/>
  <c r="BE17" i="1"/>
  <c r="AW7" i="1"/>
  <c r="AZ7" i="1"/>
  <c r="AX7" i="1"/>
  <c r="E3" i="10" l="1"/>
  <c r="F77" i="4"/>
  <c r="G68" i="4"/>
  <c r="G69" i="4"/>
  <c r="AC61" i="4"/>
  <c r="G90" i="4" s="1"/>
  <c r="G72" i="4"/>
  <c r="G88" i="4"/>
  <c r="G70" i="4"/>
  <c r="P5" i="6"/>
  <c r="Q5" i="6" s="1"/>
  <c r="BA8" i="1"/>
  <c r="BA28" i="1"/>
  <c r="AX13" i="1"/>
  <c r="R5" i="4"/>
  <c r="S5" i="4"/>
  <c r="AZ18" i="1"/>
  <c r="R6" i="4"/>
  <c r="S6" i="4"/>
  <c r="R4" i="4"/>
  <c r="S4" i="4"/>
  <c r="R8" i="4"/>
  <c r="S8" i="4"/>
  <c r="AZ27" i="1"/>
  <c r="BA27" i="1" s="1"/>
  <c r="AX18" i="1"/>
  <c r="AX27" i="1"/>
  <c r="AZ31" i="1"/>
  <c r="AX31" i="1"/>
  <c r="AK59" i="4"/>
  <c r="AK31" i="4"/>
  <c r="AK18" i="4"/>
  <c r="AK21" i="4"/>
  <c r="AJ61" i="4"/>
  <c r="I72" i="4" s="1"/>
  <c r="AK54" i="4"/>
  <c r="AK32" i="4"/>
  <c r="AK42" i="4"/>
  <c r="AJ37" i="4"/>
  <c r="I70" i="4" s="1"/>
  <c r="AK29" i="4"/>
  <c r="AK16" i="4"/>
  <c r="AK19" i="4"/>
  <c r="AK57" i="4"/>
  <c r="AK35" i="4"/>
  <c r="AK22" i="4"/>
  <c r="AK30" i="4"/>
  <c r="AK17" i="4"/>
  <c r="AK36" i="4"/>
  <c r="AK55" i="4"/>
  <c r="AK33" i="4"/>
  <c r="AK20" i="4"/>
  <c r="AK23" i="4"/>
  <c r="I78" i="4"/>
  <c r="AJ24" i="4"/>
  <c r="I69" i="4" s="1"/>
  <c r="AK15" i="4"/>
  <c r="AK34" i="4"/>
  <c r="AJ9" i="4"/>
  <c r="I20" i="4"/>
  <c r="I19" i="4"/>
  <c r="I22" i="4"/>
  <c r="I21" i="4"/>
  <c r="I23" i="4"/>
  <c r="I16" i="4"/>
  <c r="AJ49" i="4"/>
  <c r="I71" i="4" s="1"/>
  <c r="AK5" i="4"/>
  <c r="AK48" i="4"/>
  <c r="AK45" i="4"/>
  <c r="AK46" i="4"/>
  <c r="AC44" i="4"/>
  <c r="AK44" i="4"/>
  <c r="AC45" i="4"/>
  <c r="AK6" i="4"/>
  <c r="AK7" i="4"/>
  <c r="AK8" i="4"/>
  <c r="AC43" i="4"/>
  <c r="AC46" i="4"/>
  <c r="AK47" i="4"/>
  <c r="AK43" i="4"/>
  <c r="AC47" i="4"/>
  <c r="AC48" i="4"/>
  <c r="AW13" i="1"/>
  <c r="Z7" i="6"/>
  <c r="AI5" i="6"/>
  <c r="AI7" i="6"/>
  <c r="AJ4" i="4"/>
  <c r="Z5" i="6"/>
  <c r="Z6" i="6"/>
  <c r="AI3" i="6"/>
  <c r="AI6" i="6"/>
  <c r="BB25" i="1"/>
  <c r="BA25" i="1"/>
  <c r="BD25" i="1"/>
  <c r="BA20" i="1"/>
  <c r="BE14" i="1"/>
  <c r="BB10" i="1"/>
  <c r="BA10" i="1"/>
  <c r="BD10" i="1"/>
  <c r="BD29" i="1"/>
  <c r="BB29" i="1"/>
  <c r="BA29" i="1"/>
  <c r="BD31" i="1"/>
  <c r="BB31" i="1"/>
  <c r="BA31" i="1"/>
  <c r="BB27" i="1"/>
  <c r="BD27" i="1"/>
  <c r="BA7" i="1"/>
  <c r="BD7" i="1"/>
  <c r="BB7" i="1"/>
  <c r="BE20" i="1"/>
  <c r="BF20" i="1"/>
  <c r="BF8" i="1"/>
  <c r="BE8" i="1"/>
  <c r="BA16" i="1"/>
  <c r="BB16" i="1"/>
  <c r="BD16" i="1"/>
  <c r="BA32" i="1"/>
  <c r="BB32" i="1"/>
  <c r="BD32" i="1"/>
  <c r="BA26" i="1"/>
  <c r="BD26" i="1"/>
  <c r="BB26" i="1"/>
  <c r="BF12" i="1"/>
  <c r="BE12" i="1"/>
  <c r="BA11" i="1"/>
  <c r="BD11" i="1"/>
  <c r="BB11" i="1"/>
  <c r="BE28" i="1"/>
  <c r="BF28" i="1"/>
  <c r="BA22" i="1"/>
  <c r="BD22" i="1"/>
  <c r="BB22" i="1"/>
  <c r="BE33" i="1"/>
  <c r="BF33" i="1"/>
  <c r="BA24" i="1"/>
  <c r="BB24" i="1"/>
  <c r="BD24" i="1"/>
  <c r="BA9" i="1"/>
  <c r="BB9" i="1"/>
  <c r="BD9" i="1"/>
  <c r="BA18" i="1"/>
  <c r="BD18" i="1"/>
  <c r="BB18" i="1"/>
  <c r="BB15" i="1"/>
  <c r="BD15" i="1"/>
  <c r="BA15" i="1"/>
  <c r="BA30" i="1"/>
  <c r="BD30" i="1"/>
  <c r="BB30" i="1"/>
  <c r="BA13" i="1"/>
  <c r="BB13" i="1"/>
  <c r="BD13" i="1"/>
  <c r="H72" i="4" l="1"/>
  <c r="F7" i="12"/>
  <c r="H90" i="4"/>
  <c r="G7" i="12"/>
  <c r="H70" i="4"/>
  <c r="F5" i="12"/>
  <c r="H88" i="4"/>
  <c r="G5" i="12"/>
  <c r="H68" i="4"/>
  <c r="F3" i="12"/>
  <c r="H69" i="4"/>
  <c r="F4" i="12"/>
  <c r="G71" i="4"/>
  <c r="AC49" i="4"/>
  <c r="I80" i="4"/>
  <c r="AK24" i="4"/>
  <c r="AK37" i="4"/>
  <c r="AK61" i="4"/>
  <c r="AK9" i="4"/>
  <c r="G89" i="4"/>
  <c r="AK49" i="4"/>
  <c r="AK4" i="4"/>
  <c r="AJ10" i="4"/>
  <c r="I68" i="4" s="1"/>
  <c r="AK3" i="4"/>
  <c r="BF10" i="1"/>
  <c r="BE10" i="1"/>
  <c r="BF25" i="1"/>
  <c r="BE25" i="1"/>
  <c r="BE29" i="1"/>
  <c r="BF29" i="1"/>
  <c r="BF31" i="1"/>
  <c r="BE31" i="1"/>
  <c r="BE27" i="1"/>
  <c r="BF27" i="1"/>
  <c r="BF15" i="1"/>
  <c r="BE15" i="1"/>
  <c r="BE24" i="1"/>
  <c r="BF24" i="1"/>
  <c r="BE22" i="1"/>
  <c r="BF22" i="1"/>
  <c r="BE11" i="1"/>
  <c r="BF11" i="1"/>
  <c r="BE16" i="1"/>
  <c r="BF16" i="1"/>
  <c r="BE7" i="1"/>
  <c r="BF7" i="1"/>
  <c r="BE13" i="1"/>
  <c r="BF13" i="1"/>
  <c r="BE30" i="1"/>
  <c r="BF30" i="1"/>
  <c r="BE18" i="1"/>
  <c r="BF18" i="1"/>
  <c r="BE9" i="1"/>
  <c r="BF9" i="1"/>
  <c r="BE26" i="1"/>
  <c r="BF26" i="1"/>
  <c r="BF32" i="1"/>
  <c r="BE32" i="1"/>
  <c r="H89" i="4" l="1"/>
  <c r="G6" i="12"/>
  <c r="H71" i="4"/>
  <c r="H73" i="4" s="1"/>
  <c r="F8" i="12" s="1"/>
  <c r="F6" i="12"/>
  <c r="AK10" i="4"/>
  <c r="Q4" i="1"/>
  <c r="W4" i="1" s="1"/>
  <c r="Q5" i="1"/>
  <c r="W5" i="1" s="1"/>
  <c r="X5" i="1" l="1"/>
  <c r="Y5" i="1" s="1"/>
  <c r="D5" i="6"/>
  <c r="S5" i="6" s="1"/>
  <c r="X4" i="1"/>
  <c r="Y4" i="1" s="1"/>
  <c r="D4" i="6"/>
  <c r="S4" i="6" s="1"/>
  <c r="AR5" i="1"/>
  <c r="AR4" i="1"/>
  <c r="AR3" i="1"/>
  <c r="G3" i="4"/>
  <c r="AB4" i="8"/>
  <c r="AC4" i="8" s="1"/>
  <c r="Z132" i="8"/>
  <c r="Y132" i="8"/>
  <c r="X132" i="8"/>
  <c r="W132" i="8"/>
  <c r="V132" i="8"/>
  <c r="U132" i="8"/>
  <c r="T132" i="8"/>
  <c r="S132" i="8"/>
  <c r="R132" i="8"/>
  <c r="Q132" i="8"/>
  <c r="Z131" i="8"/>
  <c r="Y131" i="8"/>
  <c r="X131" i="8"/>
  <c r="W131" i="8"/>
  <c r="V131" i="8"/>
  <c r="U131" i="8"/>
  <c r="T131" i="8"/>
  <c r="S131" i="8"/>
  <c r="R131" i="8"/>
  <c r="Q131" i="8"/>
  <c r="Z130" i="8"/>
  <c r="Y130" i="8"/>
  <c r="X130" i="8"/>
  <c r="W130" i="8"/>
  <c r="V130" i="8"/>
  <c r="U130" i="8"/>
  <c r="T130" i="8"/>
  <c r="S130" i="8"/>
  <c r="R130" i="8"/>
  <c r="Q130" i="8"/>
  <c r="Z129" i="8"/>
  <c r="Y129" i="8"/>
  <c r="X129" i="8"/>
  <c r="W129" i="8"/>
  <c r="V129" i="8"/>
  <c r="U129" i="8"/>
  <c r="T129" i="8"/>
  <c r="S129" i="8"/>
  <c r="R129" i="8"/>
  <c r="Q129" i="8"/>
  <c r="Z128" i="8"/>
  <c r="Y128" i="8"/>
  <c r="X128" i="8"/>
  <c r="W128" i="8"/>
  <c r="V128" i="8"/>
  <c r="U128" i="8"/>
  <c r="T128" i="8"/>
  <c r="S128" i="8"/>
  <c r="R128" i="8"/>
  <c r="Q128" i="8"/>
  <c r="Z127" i="8"/>
  <c r="Y127" i="8"/>
  <c r="X127" i="8"/>
  <c r="W127" i="8"/>
  <c r="V127" i="8"/>
  <c r="U127" i="8"/>
  <c r="T127" i="8"/>
  <c r="S127" i="8"/>
  <c r="R127" i="8"/>
  <c r="Q127" i="8"/>
  <c r="Z126" i="8"/>
  <c r="Y126" i="8"/>
  <c r="X126" i="8"/>
  <c r="W126" i="8"/>
  <c r="V126" i="8"/>
  <c r="U126" i="8"/>
  <c r="T126" i="8"/>
  <c r="S126" i="8"/>
  <c r="R126" i="8"/>
  <c r="Q126" i="8"/>
  <c r="Z125" i="8"/>
  <c r="Y125" i="8"/>
  <c r="X125" i="8"/>
  <c r="W125" i="8"/>
  <c r="V125" i="8"/>
  <c r="U125" i="8"/>
  <c r="T125" i="8"/>
  <c r="S125" i="8"/>
  <c r="R125" i="8"/>
  <c r="Q125" i="8"/>
  <c r="Z124" i="8"/>
  <c r="Y124" i="8"/>
  <c r="X124" i="8"/>
  <c r="W124" i="8"/>
  <c r="V124" i="8"/>
  <c r="U124" i="8"/>
  <c r="T124" i="8"/>
  <c r="S124" i="8"/>
  <c r="R124" i="8"/>
  <c r="Q124" i="8"/>
  <c r="Z123" i="8"/>
  <c r="Y123" i="8"/>
  <c r="X123" i="8"/>
  <c r="W123" i="8"/>
  <c r="V123" i="8"/>
  <c r="U123" i="8"/>
  <c r="T123" i="8"/>
  <c r="S123" i="8"/>
  <c r="R123" i="8"/>
  <c r="Q123" i="8"/>
  <c r="Z122" i="8"/>
  <c r="Y122" i="8"/>
  <c r="X122" i="8"/>
  <c r="W122" i="8"/>
  <c r="V122" i="8"/>
  <c r="U122" i="8"/>
  <c r="T122" i="8"/>
  <c r="S122" i="8"/>
  <c r="R122" i="8"/>
  <c r="Q122" i="8"/>
  <c r="Z121" i="8"/>
  <c r="Y121" i="8"/>
  <c r="X121" i="8"/>
  <c r="W121" i="8"/>
  <c r="V121" i="8"/>
  <c r="U121" i="8"/>
  <c r="T121" i="8"/>
  <c r="S121" i="8"/>
  <c r="R121" i="8"/>
  <c r="Q121" i="8"/>
  <c r="Z120" i="8"/>
  <c r="Y120" i="8"/>
  <c r="X120" i="8"/>
  <c r="W120" i="8"/>
  <c r="V120" i="8"/>
  <c r="U120" i="8"/>
  <c r="T120" i="8"/>
  <c r="S120" i="8"/>
  <c r="R120" i="8"/>
  <c r="Q120" i="8"/>
  <c r="Z119" i="8"/>
  <c r="Y119" i="8"/>
  <c r="X119" i="8"/>
  <c r="W119" i="8"/>
  <c r="V119" i="8"/>
  <c r="U119" i="8"/>
  <c r="T119" i="8"/>
  <c r="S119" i="8"/>
  <c r="R119" i="8"/>
  <c r="Q119" i="8"/>
  <c r="Z118" i="8"/>
  <c r="Y118" i="8"/>
  <c r="X118" i="8"/>
  <c r="W118" i="8"/>
  <c r="V118" i="8"/>
  <c r="U118" i="8"/>
  <c r="T118" i="8"/>
  <c r="S118" i="8"/>
  <c r="R118" i="8"/>
  <c r="Q118" i="8"/>
  <c r="Z117" i="8"/>
  <c r="Y117" i="8"/>
  <c r="X117" i="8"/>
  <c r="W117" i="8"/>
  <c r="V117" i="8"/>
  <c r="U117" i="8"/>
  <c r="T117" i="8"/>
  <c r="S117" i="8"/>
  <c r="R117" i="8"/>
  <c r="Q117" i="8"/>
  <c r="Z116" i="8"/>
  <c r="Y116" i="8"/>
  <c r="X116" i="8"/>
  <c r="W116" i="8"/>
  <c r="V116" i="8"/>
  <c r="U116" i="8"/>
  <c r="T116" i="8"/>
  <c r="S116" i="8"/>
  <c r="R116" i="8"/>
  <c r="Q116" i="8"/>
  <c r="Z115" i="8"/>
  <c r="Y115" i="8"/>
  <c r="X115" i="8"/>
  <c r="W115" i="8"/>
  <c r="V115" i="8"/>
  <c r="U115" i="8"/>
  <c r="T115" i="8"/>
  <c r="S115" i="8"/>
  <c r="R115" i="8"/>
  <c r="Q115" i="8"/>
  <c r="Z114" i="8"/>
  <c r="Y114" i="8"/>
  <c r="X114" i="8"/>
  <c r="W114" i="8"/>
  <c r="V114" i="8"/>
  <c r="U114" i="8"/>
  <c r="T114" i="8"/>
  <c r="S114" i="8"/>
  <c r="R114" i="8"/>
  <c r="Q114" i="8"/>
  <c r="Z113" i="8"/>
  <c r="Y113" i="8"/>
  <c r="X113" i="8"/>
  <c r="W113" i="8"/>
  <c r="V113" i="8"/>
  <c r="U113" i="8"/>
  <c r="T113" i="8"/>
  <c r="S113" i="8"/>
  <c r="R113" i="8"/>
  <c r="Q113" i="8"/>
  <c r="Z112" i="8"/>
  <c r="Y112" i="8"/>
  <c r="X112" i="8"/>
  <c r="W112" i="8"/>
  <c r="V112" i="8"/>
  <c r="U112" i="8"/>
  <c r="T112" i="8"/>
  <c r="S112" i="8"/>
  <c r="R112" i="8"/>
  <c r="Q112" i="8"/>
  <c r="Z111" i="8"/>
  <c r="Y111" i="8"/>
  <c r="X111" i="8"/>
  <c r="W111" i="8"/>
  <c r="V111" i="8"/>
  <c r="U111" i="8"/>
  <c r="T111" i="8"/>
  <c r="S111" i="8"/>
  <c r="R111" i="8"/>
  <c r="Q111" i="8"/>
  <c r="Z110" i="8"/>
  <c r="Y110" i="8"/>
  <c r="X110" i="8"/>
  <c r="W110" i="8"/>
  <c r="V110" i="8"/>
  <c r="U110" i="8"/>
  <c r="T110" i="8"/>
  <c r="S110" i="8"/>
  <c r="R110" i="8"/>
  <c r="Q110" i="8"/>
  <c r="Z109" i="8"/>
  <c r="Y109" i="8"/>
  <c r="X109" i="8"/>
  <c r="W109" i="8"/>
  <c r="V109" i="8"/>
  <c r="U109" i="8"/>
  <c r="T109" i="8"/>
  <c r="S109" i="8"/>
  <c r="R109" i="8"/>
  <c r="Q109" i="8"/>
  <c r="Z108" i="8"/>
  <c r="Y108" i="8"/>
  <c r="X108" i="8"/>
  <c r="W108" i="8"/>
  <c r="V108" i="8"/>
  <c r="U108" i="8"/>
  <c r="T108" i="8"/>
  <c r="S108" i="8"/>
  <c r="R108" i="8"/>
  <c r="Q108" i="8"/>
  <c r="Z107" i="8"/>
  <c r="Y107" i="8"/>
  <c r="X107" i="8"/>
  <c r="W107" i="8"/>
  <c r="V107" i="8"/>
  <c r="U107" i="8"/>
  <c r="T107" i="8"/>
  <c r="S107" i="8"/>
  <c r="R107" i="8"/>
  <c r="Q107" i="8"/>
  <c r="Z106" i="8"/>
  <c r="Y106" i="8"/>
  <c r="X106" i="8"/>
  <c r="W106" i="8"/>
  <c r="V106" i="8"/>
  <c r="U106" i="8"/>
  <c r="T106" i="8"/>
  <c r="S106" i="8"/>
  <c r="R106" i="8"/>
  <c r="Q106" i="8"/>
  <c r="Z105" i="8"/>
  <c r="Y105" i="8"/>
  <c r="X105" i="8"/>
  <c r="W105" i="8"/>
  <c r="V105" i="8"/>
  <c r="U105" i="8"/>
  <c r="T105" i="8"/>
  <c r="S105" i="8"/>
  <c r="R105" i="8"/>
  <c r="Q105" i="8"/>
  <c r="Z104" i="8"/>
  <c r="Y104" i="8"/>
  <c r="X104" i="8"/>
  <c r="W104" i="8"/>
  <c r="V104" i="8"/>
  <c r="U104" i="8"/>
  <c r="T104" i="8"/>
  <c r="S104" i="8"/>
  <c r="R104" i="8"/>
  <c r="Q104" i="8"/>
  <c r="Z103" i="8"/>
  <c r="Y103" i="8"/>
  <c r="X103" i="8"/>
  <c r="W103" i="8"/>
  <c r="V103" i="8"/>
  <c r="U103" i="8"/>
  <c r="T103" i="8"/>
  <c r="S103" i="8"/>
  <c r="R103" i="8"/>
  <c r="Q103" i="8"/>
  <c r="Z97" i="8"/>
  <c r="Y97" i="8"/>
  <c r="X97" i="8"/>
  <c r="W97" i="8"/>
  <c r="V97" i="8"/>
  <c r="U97" i="8"/>
  <c r="T97" i="8"/>
  <c r="S97" i="8"/>
  <c r="R97" i="8"/>
  <c r="Q97" i="8"/>
  <c r="Z96" i="8"/>
  <c r="Y96" i="8"/>
  <c r="X96" i="8"/>
  <c r="W96" i="8"/>
  <c r="V96" i="8"/>
  <c r="U96" i="8"/>
  <c r="T96" i="8"/>
  <c r="S96" i="8"/>
  <c r="R96" i="8"/>
  <c r="Q96" i="8"/>
  <c r="Z95" i="8"/>
  <c r="Y95" i="8"/>
  <c r="X95" i="8"/>
  <c r="W95" i="8"/>
  <c r="V95" i="8"/>
  <c r="U95" i="8"/>
  <c r="T95" i="8"/>
  <c r="S95" i="8"/>
  <c r="R95" i="8"/>
  <c r="Q95" i="8"/>
  <c r="Z94" i="8"/>
  <c r="Y94" i="8"/>
  <c r="X94" i="8"/>
  <c r="W94" i="8"/>
  <c r="V94" i="8"/>
  <c r="U94" i="8"/>
  <c r="T94" i="8"/>
  <c r="S94" i="8"/>
  <c r="R94" i="8"/>
  <c r="Q94" i="8"/>
  <c r="Z93" i="8"/>
  <c r="Y93" i="8"/>
  <c r="X93" i="8"/>
  <c r="W93" i="8"/>
  <c r="V93" i="8"/>
  <c r="U93" i="8"/>
  <c r="T93" i="8"/>
  <c r="S93" i="8"/>
  <c r="R93" i="8"/>
  <c r="Q93" i="8"/>
  <c r="Z92" i="8"/>
  <c r="Y92" i="8"/>
  <c r="X92" i="8"/>
  <c r="W92" i="8"/>
  <c r="V92" i="8"/>
  <c r="U92" i="8"/>
  <c r="T92" i="8"/>
  <c r="S92" i="8"/>
  <c r="R92" i="8"/>
  <c r="Q92" i="8"/>
  <c r="Z91" i="8"/>
  <c r="Y91" i="8"/>
  <c r="X91" i="8"/>
  <c r="W91" i="8"/>
  <c r="V91" i="8"/>
  <c r="U91" i="8"/>
  <c r="T91" i="8"/>
  <c r="S91" i="8"/>
  <c r="R91" i="8"/>
  <c r="Q91" i="8"/>
  <c r="Z90" i="8"/>
  <c r="Y90" i="8"/>
  <c r="X90" i="8"/>
  <c r="W90" i="8"/>
  <c r="V90" i="8"/>
  <c r="U90" i="8"/>
  <c r="T90" i="8"/>
  <c r="S90" i="8"/>
  <c r="R90" i="8"/>
  <c r="Q90" i="8"/>
  <c r="Z89" i="8"/>
  <c r="Y89" i="8"/>
  <c r="X89" i="8"/>
  <c r="W89" i="8"/>
  <c r="V89" i="8"/>
  <c r="U89" i="8"/>
  <c r="T89" i="8"/>
  <c r="S89" i="8"/>
  <c r="R89" i="8"/>
  <c r="Q89" i="8"/>
  <c r="Z88" i="8"/>
  <c r="Y88" i="8"/>
  <c r="X88" i="8"/>
  <c r="W88" i="8"/>
  <c r="V88" i="8"/>
  <c r="U88" i="8"/>
  <c r="T88" i="8"/>
  <c r="S88" i="8"/>
  <c r="R88" i="8"/>
  <c r="Q88" i="8"/>
  <c r="Z87" i="8"/>
  <c r="Y87" i="8"/>
  <c r="X87" i="8"/>
  <c r="W87" i="8"/>
  <c r="V87" i="8"/>
  <c r="U87" i="8"/>
  <c r="T87" i="8"/>
  <c r="S87" i="8"/>
  <c r="R87" i="8"/>
  <c r="Q87" i="8"/>
  <c r="Z86" i="8"/>
  <c r="Y86" i="8"/>
  <c r="X86" i="8"/>
  <c r="W86" i="8"/>
  <c r="V86" i="8"/>
  <c r="U86" i="8"/>
  <c r="T86" i="8"/>
  <c r="S86" i="8"/>
  <c r="R86" i="8"/>
  <c r="Q86" i="8"/>
  <c r="Z85" i="8"/>
  <c r="Y85" i="8"/>
  <c r="X85" i="8"/>
  <c r="W85" i="8"/>
  <c r="V85" i="8"/>
  <c r="U85" i="8"/>
  <c r="T85" i="8"/>
  <c r="S85" i="8"/>
  <c r="R85" i="8"/>
  <c r="Q85" i="8"/>
  <c r="Z84" i="8"/>
  <c r="Y84" i="8"/>
  <c r="X84" i="8"/>
  <c r="W84" i="8"/>
  <c r="V84" i="8"/>
  <c r="U84" i="8"/>
  <c r="T84" i="8"/>
  <c r="S84" i="8"/>
  <c r="R84" i="8"/>
  <c r="Q84" i="8"/>
  <c r="Z83" i="8"/>
  <c r="Y83" i="8"/>
  <c r="X83" i="8"/>
  <c r="W83" i="8"/>
  <c r="V83" i="8"/>
  <c r="U83" i="8"/>
  <c r="T83" i="8"/>
  <c r="S83" i="8"/>
  <c r="R83" i="8"/>
  <c r="Q83" i="8"/>
  <c r="Z82" i="8"/>
  <c r="Y82" i="8"/>
  <c r="X82" i="8"/>
  <c r="W82" i="8"/>
  <c r="V82" i="8"/>
  <c r="U82" i="8"/>
  <c r="T82" i="8"/>
  <c r="S82" i="8"/>
  <c r="R82" i="8"/>
  <c r="Q82" i="8"/>
  <c r="Z81" i="8"/>
  <c r="Y81" i="8"/>
  <c r="X81" i="8"/>
  <c r="W81" i="8"/>
  <c r="V81" i="8"/>
  <c r="U81" i="8"/>
  <c r="T81" i="8"/>
  <c r="S81" i="8"/>
  <c r="R81" i="8"/>
  <c r="Q81" i="8"/>
  <c r="Z80" i="8"/>
  <c r="Y80" i="8"/>
  <c r="X80" i="8"/>
  <c r="W80" i="8"/>
  <c r="V80" i="8"/>
  <c r="U80" i="8"/>
  <c r="T80" i="8"/>
  <c r="S80" i="8"/>
  <c r="R80" i="8"/>
  <c r="Q80" i="8"/>
  <c r="Z79" i="8"/>
  <c r="Y79" i="8"/>
  <c r="X79" i="8"/>
  <c r="W79" i="8"/>
  <c r="V79" i="8"/>
  <c r="U79" i="8"/>
  <c r="T79" i="8"/>
  <c r="S79" i="8"/>
  <c r="R79" i="8"/>
  <c r="Q79" i="8"/>
  <c r="Z78" i="8"/>
  <c r="Y78" i="8"/>
  <c r="X78" i="8"/>
  <c r="W78" i="8"/>
  <c r="V78" i="8"/>
  <c r="U78" i="8"/>
  <c r="T78" i="8"/>
  <c r="S78" i="8"/>
  <c r="R78" i="8"/>
  <c r="Q78" i="8"/>
  <c r="Z77" i="8"/>
  <c r="Y77" i="8"/>
  <c r="X77" i="8"/>
  <c r="W77" i="8"/>
  <c r="V77" i="8"/>
  <c r="U77" i="8"/>
  <c r="T77" i="8"/>
  <c r="S77" i="8"/>
  <c r="R77" i="8"/>
  <c r="Q77" i="8"/>
  <c r="Z76" i="8"/>
  <c r="Y76" i="8"/>
  <c r="X76" i="8"/>
  <c r="W76" i="8"/>
  <c r="V76" i="8"/>
  <c r="U76" i="8"/>
  <c r="T76" i="8"/>
  <c r="S76" i="8"/>
  <c r="R76" i="8"/>
  <c r="Q76" i="8"/>
  <c r="Z75" i="8"/>
  <c r="Y75" i="8"/>
  <c r="X75" i="8"/>
  <c r="W75" i="8"/>
  <c r="V75" i="8"/>
  <c r="U75" i="8"/>
  <c r="T75" i="8"/>
  <c r="S75" i="8"/>
  <c r="R75" i="8"/>
  <c r="Q75" i="8"/>
  <c r="Z74" i="8"/>
  <c r="Y74" i="8"/>
  <c r="X74" i="8"/>
  <c r="W74" i="8"/>
  <c r="V74" i="8"/>
  <c r="U74" i="8"/>
  <c r="T74" i="8"/>
  <c r="S74" i="8"/>
  <c r="R74" i="8"/>
  <c r="Q74" i="8"/>
  <c r="Z70" i="8"/>
  <c r="Y70" i="8"/>
  <c r="X70" i="8"/>
  <c r="W70" i="8"/>
  <c r="V70" i="8"/>
  <c r="U70" i="8"/>
  <c r="T70" i="8"/>
  <c r="S70" i="8"/>
  <c r="R70" i="8"/>
  <c r="Q70" i="8"/>
  <c r="Z69" i="8"/>
  <c r="Y69" i="8"/>
  <c r="X69" i="8"/>
  <c r="W69" i="8"/>
  <c r="V69" i="8"/>
  <c r="U69" i="8"/>
  <c r="T69" i="8"/>
  <c r="S69" i="8"/>
  <c r="R69" i="8"/>
  <c r="Q69" i="8"/>
  <c r="Z68" i="8"/>
  <c r="Y68" i="8"/>
  <c r="X68" i="8"/>
  <c r="W68" i="8"/>
  <c r="V68" i="8"/>
  <c r="U68" i="8"/>
  <c r="T68" i="8"/>
  <c r="S68" i="8"/>
  <c r="R68" i="8"/>
  <c r="Q68" i="8"/>
  <c r="Z67" i="8"/>
  <c r="Y67" i="8"/>
  <c r="X67" i="8"/>
  <c r="W67" i="8"/>
  <c r="V67" i="8"/>
  <c r="U67" i="8"/>
  <c r="T67" i="8"/>
  <c r="S67" i="8"/>
  <c r="R67" i="8"/>
  <c r="Q67" i="8"/>
  <c r="Z66" i="8"/>
  <c r="Y66" i="8"/>
  <c r="X66" i="8"/>
  <c r="W66" i="8"/>
  <c r="V66" i="8"/>
  <c r="U66" i="8"/>
  <c r="T66" i="8"/>
  <c r="S66" i="8"/>
  <c r="R66" i="8"/>
  <c r="Q66" i="8"/>
  <c r="Z65" i="8"/>
  <c r="Y65" i="8"/>
  <c r="X65" i="8"/>
  <c r="W65" i="8"/>
  <c r="V65" i="8"/>
  <c r="U65" i="8"/>
  <c r="T65" i="8"/>
  <c r="S65" i="8"/>
  <c r="R65" i="8"/>
  <c r="Q65" i="8"/>
  <c r="Z64" i="8"/>
  <c r="Y64" i="8"/>
  <c r="X64" i="8"/>
  <c r="W64" i="8"/>
  <c r="V64" i="8"/>
  <c r="U64" i="8"/>
  <c r="T64" i="8"/>
  <c r="S64" i="8"/>
  <c r="R64" i="8"/>
  <c r="Q64" i="8"/>
  <c r="Z63" i="8"/>
  <c r="Y63" i="8"/>
  <c r="X63" i="8"/>
  <c r="W63" i="8"/>
  <c r="V63" i="8"/>
  <c r="U63" i="8"/>
  <c r="T63" i="8"/>
  <c r="S63" i="8"/>
  <c r="R63" i="8"/>
  <c r="Q63" i="8"/>
  <c r="Z62" i="8"/>
  <c r="Y62" i="8"/>
  <c r="X62" i="8"/>
  <c r="W62" i="8"/>
  <c r="V62" i="8"/>
  <c r="U62" i="8"/>
  <c r="T62" i="8"/>
  <c r="S62" i="8"/>
  <c r="R62" i="8"/>
  <c r="Q62" i="8"/>
  <c r="Z61" i="8"/>
  <c r="Y61" i="8"/>
  <c r="X61" i="8"/>
  <c r="W61" i="8"/>
  <c r="V61" i="8"/>
  <c r="U61" i="8"/>
  <c r="T61" i="8"/>
  <c r="S61" i="8"/>
  <c r="R61" i="8"/>
  <c r="Q61" i="8"/>
  <c r="Z60" i="8"/>
  <c r="Y60" i="8"/>
  <c r="X60" i="8"/>
  <c r="W60" i="8"/>
  <c r="V60" i="8"/>
  <c r="U60" i="8"/>
  <c r="T60" i="8"/>
  <c r="S60" i="8"/>
  <c r="R60" i="8"/>
  <c r="Q60" i="8"/>
  <c r="Z59" i="8"/>
  <c r="Y59" i="8"/>
  <c r="X59" i="8"/>
  <c r="W59" i="8"/>
  <c r="V59" i="8"/>
  <c r="U59" i="8"/>
  <c r="T59" i="8"/>
  <c r="S59" i="8"/>
  <c r="R59" i="8"/>
  <c r="Q59" i="8"/>
  <c r="Z58" i="8"/>
  <c r="Y58" i="8"/>
  <c r="X58" i="8"/>
  <c r="W58" i="8"/>
  <c r="V58" i="8"/>
  <c r="U58" i="8"/>
  <c r="T58" i="8"/>
  <c r="S58" i="8"/>
  <c r="R58" i="8"/>
  <c r="Q58" i="8"/>
  <c r="Z57" i="8"/>
  <c r="Y57" i="8"/>
  <c r="X57" i="8"/>
  <c r="W57" i="8"/>
  <c r="V57" i="8"/>
  <c r="U57" i="8"/>
  <c r="T57" i="8"/>
  <c r="S57" i="8"/>
  <c r="R57" i="8"/>
  <c r="Q57" i="8"/>
  <c r="Z56" i="8"/>
  <c r="Y56" i="8"/>
  <c r="X56" i="8"/>
  <c r="W56" i="8"/>
  <c r="V56" i="8"/>
  <c r="U56" i="8"/>
  <c r="T56" i="8"/>
  <c r="S56" i="8"/>
  <c r="R56" i="8"/>
  <c r="Q56" i="8"/>
  <c r="Z55" i="8"/>
  <c r="Y55" i="8"/>
  <c r="X55" i="8"/>
  <c r="W55" i="8"/>
  <c r="V55" i="8"/>
  <c r="U55" i="8"/>
  <c r="T55" i="8"/>
  <c r="S55" i="8"/>
  <c r="R55" i="8"/>
  <c r="Q55" i="8"/>
  <c r="Z54" i="8"/>
  <c r="Y54" i="8"/>
  <c r="X54" i="8"/>
  <c r="W54" i="8"/>
  <c r="V54" i="8"/>
  <c r="U54" i="8"/>
  <c r="T54" i="8"/>
  <c r="S54" i="8"/>
  <c r="R54" i="8"/>
  <c r="Q54" i="8"/>
  <c r="Z53" i="8"/>
  <c r="Y53" i="8"/>
  <c r="X53" i="8"/>
  <c r="W53" i="8"/>
  <c r="V53" i="8"/>
  <c r="U53" i="8"/>
  <c r="T53" i="8"/>
  <c r="S53" i="8"/>
  <c r="R53" i="8"/>
  <c r="Q53" i="8"/>
  <c r="Z52" i="8"/>
  <c r="Y52" i="8"/>
  <c r="X52" i="8"/>
  <c r="W52" i="8"/>
  <c r="V52" i="8"/>
  <c r="U52" i="8"/>
  <c r="T52" i="8"/>
  <c r="S52" i="8"/>
  <c r="R52" i="8"/>
  <c r="Q52" i="8"/>
  <c r="Z51" i="8"/>
  <c r="Y51" i="8"/>
  <c r="X51" i="8"/>
  <c r="W51" i="8"/>
  <c r="V51" i="8"/>
  <c r="U51" i="8"/>
  <c r="T51" i="8"/>
  <c r="S51" i="8"/>
  <c r="R51" i="8"/>
  <c r="Q51" i="8"/>
  <c r="Z50" i="8"/>
  <c r="Y50" i="8"/>
  <c r="X50" i="8"/>
  <c r="W50" i="8"/>
  <c r="V50" i="8"/>
  <c r="U50" i="8"/>
  <c r="T50" i="8"/>
  <c r="S50" i="8"/>
  <c r="R50" i="8"/>
  <c r="Q50" i="8"/>
  <c r="Z49" i="8"/>
  <c r="Y49" i="8"/>
  <c r="X49" i="8"/>
  <c r="W49" i="8"/>
  <c r="V49" i="8"/>
  <c r="U49" i="8"/>
  <c r="T49" i="8"/>
  <c r="S49" i="8"/>
  <c r="R49" i="8"/>
  <c r="Q49" i="8"/>
  <c r="Z48" i="8"/>
  <c r="Y48" i="8"/>
  <c r="X48" i="8"/>
  <c r="W48" i="8"/>
  <c r="V48" i="8"/>
  <c r="U48" i="8"/>
  <c r="T48" i="8"/>
  <c r="S48" i="8"/>
  <c r="R48" i="8"/>
  <c r="Q48" i="8"/>
  <c r="Z47" i="8"/>
  <c r="Y47" i="8"/>
  <c r="X47" i="8"/>
  <c r="W47" i="8"/>
  <c r="V47" i="8"/>
  <c r="U47" i="8"/>
  <c r="T47" i="8"/>
  <c r="S47" i="8"/>
  <c r="R47" i="8"/>
  <c r="Q47" i="8"/>
  <c r="Z42" i="8"/>
  <c r="Y42" i="8"/>
  <c r="X42" i="8"/>
  <c r="W42" i="8"/>
  <c r="V42" i="8"/>
  <c r="U42" i="8"/>
  <c r="T42" i="8"/>
  <c r="S42" i="8"/>
  <c r="R42" i="8"/>
  <c r="Q42" i="8"/>
  <c r="Z41" i="8"/>
  <c r="Y41" i="8"/>
  <c r="X41" i="8"/>
  <c r="W41" i="8"/>
  <c r="V41" i="8"/>
  <c r="U41" i="8"/>
  <c r="T41" i="8"/>
  <c r="S41" i="8"/>
  <c r="R41" i="8"/>
  <c r="Q41" i="8"/>
  <c r="Z40" i="8"/>
  <c r="Y40" i="8"/>
  <c r="X40" i="8"/>
  <c r="W40" i="8"/>
  <c r="V40" i="8"/>
  <c r="U40" i="8"/>
  <c r="T40" i="8"/>
  <c r="S40" i="8"/>
  <c r="R40" i="8"/>
  <c r="Q40" i="8"/>
  <c r="Z39" i="8"/>
  <c r="Y39" i="8"/>
  <c r="X39" i="8"/>
  <c r="W39" i="8"/>
  <c r="V39" i="8"/>
  <c r="U39" i="8"/>
  <c r="T39" i="8"/>
  <c r="S39" i="8"/>
  <c r="R39" i="8"/>
  <c r="Q39" i="8"/>
  <c r="Z38" i="8"/>
  <c r="Y38" i="8"/>
  <c r="X38" i="8"/>
  <c r="W38" i="8"/>
  <c r="V38" i="8"/>
  <c r="U38" i="8"/>
  <c r="T38" i="8"/>
  <c r="S38" i="8"/>
  <c r="R38" i="8"/>
  <c r="Q38" i="8"/>
  <c r="Z37" i="8"/>
  <c r="Y37" i="8"/>
  <c r="X37" i="8"/>
  <c r="W37" i="8"/>
  <c r="V37" i="8"/>
  <c r="U37" i="8"/>
  <c r="T37" i="8"/>
  <c r="S37" i="8"/>
  <c r="R37" i="8"/>
  <c r="Q37" i="8"/>
  <c r="Z36" i="8"/>
  <c r="Y36" i="8"/>
  <c r="X36" i="8"/>
  <c r="W36" i="8"/>
  <c r="V36" i="8"/>
  <c r="U36" i="8"/>
  <c r="T36" i="8"/>
  <c r="S36" i="8"/>
  <c r="R36" i="8"/>
  <c r="Q36" i="8"/>
  <c r="Z35" i="8"/>
  <c r="Y35" i="8"/>
  <c r="X35" i="8"/>
  <c r="W35" i="8"/>
  <c r="V35" i="8"/>
  <c r="U35" i="8"/>
  <c r="T35" i="8"/>
  <c r="S35" i="8"/>
  <c r="R35" i="8"/>
  <c r="Q35" i="8"/>
  <c r="Z34" i="8"/>
  <c r="Y34" i="8"/>
  <c r="X34" i="8"/>
  <c r="W34" i="8"/>
  <c r="V34" i="8"/>
  <c r="U34" i="8"/>
  <c r="T34" i="8"/>
  <c r="S34" i="8"/>
  <c r="R34" i="8"/>
  <c r="Q34" i="8"/>
  <c r="Z33" i="8"/>
  <c r="Y33" i="8"/>
  <c r="X33" i="8"/>
  <c r="W33" i="8"/>
  <c r="V33" i="8"/>
  <c r="U33" i="8"/>
  <c r="T33" i="8"/>
  <c r="S33" i="8"/>
  <c r="R33" i="8"/>
  <c r="Q33" i="8"/>
  <c r="Z32" i="8"/>
  <c r="Y32" i="8"/>
  <c r="X32" i="8"/>
  <c r="W32" i="8"/>
  <c r="V32" i="8"/>
  <c r="U32" i="8"/>
  <c r="T32" i="8"/>
  <c r="S32" i="8"/>
  <c r="R32" i="8"/>
  <c r="Q32" i="8"/>
  <c r="Z31" i="8"/>
  <c r="Y31" i="8"/>
  <c r="X31" i="8"/>
  <c r="W31" i="8"/>
  <c r="V31" i="8"/>
  <c r="U31" i="8"/>
  <c r="T31" i="8"/>
  <c r="S31" i="8"/>
  <c r="R31" i="8"/>
  <c r="Q31" i="8"/>
  <c r="Z30" i="8"/>
  <c r="Y30" i="8"/>
  <c r="X30" i="8"/>
  <c r="W30" i="8"/>
  <c r="V30" i="8"/>
  <c r="U30" i="8"/>
  <c r="T30" i="8"/>
  <c r="S30" i="8"/>
  <c r="R30" i="8"/>
  <c r="Q30" i="8"/>
  <c r="Z29" i="8"/>
  <c r="Y29" i="8"/>
  <c r="X29" i="8"/>
  <c r="W29" i="8"/>
  <c r="V29" i="8"/>
  <c r="U29" i="8"/>
  <c r="T29" i="8"/>
  <c r="S29" i="8"/>
  <c r="R29" i="8"/>
  <c r="Q29" i="8"/>
  <c r="Z28" i="8"/>
  <c r="Y28" i="8"/>
  <c r="X28" i="8"/>
  <c r="W28" i="8"/>
  <c r="V28" i="8"/>
  <c r="U28" i="8"/>
  <c r="T28" i="8"/>
  <c r="S28" i="8"/>
  <c r="R28" i="8"/>
  <c r="Q28" i="8"/>
  <c r="Z27" i="8"/>
  <c r="Y27" i="8"/>
  <c r="X27" i="8"/>
  <c r="W27" i="8"/>
  <c r="V27" i="8"/>
  <c r="U27" i="8"/>
  <c r="T27" i="8"/>
  <c r="S27" i="8"/>
  <c r="R27" i="8"/>
  <c r="Q27" i="8"/>
  <c r="Z26" i="8"/>
  <c r="Y26" i="8"/>
  <c r="X26" i="8"/>
  <c r="W26" i="8"/>
  <c r="V26" i="8"/>
  <c r="U26" i="8"/>
  <c r="T26" i="8"/>
  <c r="S26" i="8"/>
  <c r="R26" i="8"/>
  <c r="Q26" i="8"/>
  <c r="Z25" i="8"/>
  <c r="Y25" i="8"/>
  <c r="X25" i="8"/>
  <c r="W25" i="8"/>
  <c r="V25" i="8"/>
  <c r="U25" i="8"/>
  <c r="T25" i="8"/>
  <c r="S25" i="8"/>
  <c r="R25" i="8"/>
  <c r="Q25" i="8"/>
  <c r="Z24" i="8"/>
  <c r="Y24" i="8"/>
  <c r="X24" i="8"/>
  <c r="W24" i="8"/>
  <c r="V24" i="8"/>
  <c r="U24" i="8"/>
  <c r="T24" i="8"/>
  <c r="S24" i="8"/>
  <c r="R24" i="8"/>
  <c r="Q24" i="8"/>
  <c r="Z23" i="8"/>
  <c r="Y23" i="8"/>
  <c r="X23" i="8"/>
  <c r="W23" i="8"/>
  <c r="V23" i="8"/>
  <c r="U23" i="8"/>
  <c r="T23" i="8"/>
  <c r="S23" i="8"/>
  <c r="R23" i="8"/>
  <c r="Q23" i="8"/>
  <c r="Z22" i="8"/>
  <c r="Y22" i="8"/>
  <c r="X22" i="8"/>
  <c r="W22" i="8"/>
  <c r="V22" i="8"/>
  <c r="U22" i="8"/>
  <c r="T22" i="8"/>
  <c r="S22" i="8"/>
  <c r="R22" i="8"/>
  <c r="Q22" i="8"/>
  <c r="Z21" i="8"/>
  <c r="Y21" i="8"/>
  <c r="X21" i="8"/>
  <c r="W21" i="8"/>
  <c r="V21" i="8"/>
  <c r="U21" i="8"/>
  <c r="T21" i="8"/>
  <c r="S21" i="8"/>
  <c r="R21" i="8"/>
  <c r="Q21" i="8"/>
  <c r="Z20" i="8"/>
  <c r="Y20" i="8"/>
  <c r="X20" i="8"/>
  <c r="W20" i="8"/>
  <c r="V20" i="8"/>
  <c r="U20" i="8"/>
  <c r="T20" i="8"/>
  <c r="S20" i="8"/>
  <c r="R20" i="8"/>
  <c r="Q20" i="8"/>
  <c r="Z19" i="8"/>
  <c r="Y19" i="8"/>
  <c r="X19" i="8"/>
  <c r="W19" i="8"/>
  <c r="V19" i="8"/>
  <c r="U19" i="8"/>
  <c r="T19" i="8"/>
  <c r="S19" i="8"/>
  <c r="R19" i="8"/>
  <c r="Q19" i="8"/>
  <c r="Z15" i="8"/>
  <c r="Y15" i="8"/>
  <c r="X15" i="8"/>
  <c r="W15" i="8"/>
  <c r="V15" i="8"/>
  <c r="U15" i="8"/>
  <c r="T15" i="8"/>
  <c r="S15" i="8"/>
  <c r="R15" i="8"/>
  <c r="Q15" i="8"/>
  <c r="Z14" i="8"/>
  <c r="Y14" i="8"/>
  <c r="X14" i="8"/>
  <c r="W14" i="8"/>
  <c r="V14" i="8"/>
  <c r="U14" i="8"/>
  <c r="T14" i="8"/>
  <c r="S14" i="8"/>
  <c r="R14" i="8"/>
  <c r="Q14" i="8"/>
  <c r="Z13" i="8"/>
  <c r="Y13" i="8"/>
  <c r="X13" i="8"/>
  <c r="W13" i="8"/>
  <c r="V13" i="8"/>
  <c r="U13" i="8"/>
  <c r="T13" i="8"/>
  <c r="S13" i="8"/>
  <c r="R13" i="8"/>
  <c r="Q13" i="8"/>
  <c r="Z12" i="8"/>
  <c r="Y12" i="8"/>
  <c r="X12" i="8"/>
  <c r="W12" i="8"/>
  <c r="V12" i="8"/>
  <c r="U12" i="8"/>
  <c r="T12" i="8"/>
  <c r="S12" i="8"/>
  <c r="R12" i="8"/>
  <c r="Q12" i="8"/>
  <c r="Z11" i="8"/>
  <c r="Y11" i="8"/>
  <c r="X11" i="8"/>
  <c r="W11" i="8"/>
  <c r="V11" i="8"/>
  <c r="U11" i="8"/>
  <c r="T11" i="8"/>
  <c r="S11" i="8"/>
  <c r="R11" i="8"/>
  <c r="Q11" i="8"/>
  <c r="Z10" i="8"/>
  <c r="Y10" i="8"/>
  <c r="X10" i="8"/>
  <c r="W10" i="8"/>
  <c r="V10" i="8"/>
  <c r="U10" i="8"/>
  <c r="T10" i="8"/>
  <c r="S10" i="8"/>
  <c r="R10" i="8"/>
  <c r="Q10" i="8"/>
  <c r="Z9" i="8"/>
  <c r="Y9" i="8"/>
  <c r="X9" i="8"/>
  <c r="W9" i="8"/>
  <c r="V9" i="8"/>
  <c r="U9" i="8"/>
  <c r="T9" i="8"/>
  <c r="S9" i="8"/>
  <c r="R9" i="8"/>
  <c r="Q9" i="8"/>
  <c r="Z8" i="8"/>
  <c r="Y8" i="8"/>
  <c r="X8" i="8"/>
  <c r="W8" i="8"/>
  <c r="V8" i="8"/>
  <c r="U8" i="8"/>
  <c r="T8" i="8"/>
  <c r="S8" i="8"/>
  <c r="R8" i="8"/>
  <c r="Q8" i="8"/>
  <c r="Z7" i="8"/>
  <c r="Y7" i="8"/>
  <c r="X7" i="8"/>
  <c r="W7" i="8"/>
  <c r="V7" i="8"/>
  <c r="U7" i="8"/>
  <c r="T7" i="8"/>
  <c r="S7" i="8"/>
  <c r="R7" i="8"/>
  <c r="Q7" i="8"/>
  <c r="Z6" i="8"/>
  <c r="Y6" i="8"/>
  <c r="X6" i="8"/>
  <c r="W6" i="8"/>
  <c r="V6" i="8"/>
  <c r="U6" i="8"/>
  <c r="T6" i="8"/>
  <c r="S6" i="8"/>
  <c r="R6" i="8"/>
  <c r="Q6" i="8"/>
  <c r="Z5" i="8"/>
  <c r="Y5" i="8"/>
  <c r="X5" i="8"/>
  <c r="W5" i="8"/>
  <c r="V5" i="8"/>
  <c r="U5" i="8"/>
  <c r="T5" i="8"/>
  <c r="S5" i="8"/>
  <c r="R5" i="8"/>
  <c r="Q5" i="8"/>
  <c r="Z4" i="8"/>
  <c r="Y4" i="8"/>
  <c r="X4" i="8"/>
  <c r="W4" i="8"/>
  <c r="V4" i="8"/>
  <c r="U4" i="8"/>
  <c r="T4" i="8"/>
  <c r="P4" i="8" s="1"/>
  <c r="S4" i="8"/>
  <c r="R4" i="8"/>
  <c r="Q4" i="8"/>
  <c r="AA15" i="8" l="1"/>
  <c r="AA22" i="8"/>
  <c r="AA26" i="8"/>
  <c r="AA34" i="8"/>
  <c r="AA38" i="8"/>
  <c r="AA42" i="8"/>
  <c r="AA50" i="8"/>
  <c r="AA54" i="8"/>
  <c r="AA58" i="8"/>
  <c r="AA62" i="8"/>
  <c r="AA66" i="8"/>
  <c r="AA70" i="8"/>
  <c r="AA75" i="8"/>
  <c r="AA77" i="8"/>
  <c r="AA79" i="8"/>
  <c r="AA81" i="8"/>
  <c r="AA83" i="8"/>
  <c r="AA85" i="8"/>
  <c r="AA87" i="8"/>
  <c r="AA89" i="8"/>
  <c r="AA91" i="8"/>
  <c r="AA93" i="8"/>
  <c r="AA95" i="8"/>
  <c r="AA97" i="8"/>
  <c r="AA104" i="8"/>
  <c r="AA106" i="8"/>
  <c r="AA108" i="8"/>
  <c r="AA110" i="8"/>
  <c r="AA112" i="8"/>
  <c r="AA114" i="8"/>
  <c r="AA116" i="8"/>
  <c r="AA118" i="8"/>
  <c r="AA120" i="8"/>
  <c r="AA122" i="8"/>
  <c r="AA124" i="8"/>
  <c r="AA126" i="8"/>
  <c r="AA128" i="8"/>
  <c r="AA130" i="8"/>
  <c r="AA132" i="8"/>
  <c r="AA6" i="8"/>
  <c r="AA8" i="8"/>
  <c r="AA10" i="8"/>
  <c r="AA12" i="8"/>
  <c r="AA4" i="8"/>
  <c r="AA30" i="8"/>
  <c r="AA14" i="8"/>
  <c r="AA19" i="8"/>
  <c r="AA21" i="8"/>
  <c r="AA23" i="8"/>
  <c r="AA25" i="8"/>
  <c r="AA27" i="8"/>
  <c r="AA29" i="8"/>
  <c r="AA31" i="8"/>
  <c r="AA33" i="8"/>
  <c r="AA35" i="8"/>
  <c r="AA37" i="8"/>
  <c r="AA39" i="8"/>
  <c r="AA41" i="8"/>
  <c r="AA47" i="8"/>
  <c r="AA49" i="8"/>
  <c r="AA51" i="8"/>
  <c r="AA53" i="8"/>
  <c r="AA55" i="8"/>
  <c r="AA57" i="8"/>
  <c r="AA59" i="8"/>
  <c r="AA61" i="8"/>
  <c r="AA63" i="8"/>
  <c r="AA65" i="8"/>
  <c r="AA67" i="8"/>
  <c r="AA69" i="8"/>
  <c r="AA74" i="8"/>
  <c r="AA76" i="8"/>
  <c r="AA78" i="8"/>
  <c r="AA80" i="8"/>
  <c r="AA82" i="8"/>
  <c r="AA84" i="8"/>
  <c r="AA86" i="8"/>
  <c r="AA88" i="8"/>
  <c r="AA90" i="8"/>
  <c r="AA92" i="8"/>
  <c r="AA94" i="8"/>
  <c r="AA96" i="8"/>
  <c r="AA103" i="8"/>
  <c r="AA105" i="8"/>
  <c r="AA107" i="8"/>
  <c r="AA109" i="8"/>
  <c r="AA111" i="8"/>
  <c r="AA113" i="8"/>
  <c r="AA115" i="8"/>
  <c r="AA117" i="8"/>
  <c r="AA119" i="8"/>
  <c r="AA121" i="8"/>
  <c r="AA123" i="8"/>
  <c r="AA125" i="8"/>
  <c r="AA127" i="8"/>
  <c r="AA129" i="8"/>
  <c r="AA131" i="8"/>
  <c r="R3" i="4"/>
  <c r="R10" i="4" s="1"/>
  <c r="S3" i="4"/>
  <c r="AA7" i="8"/>
  <c r="AA11" i="8"/>
  <c r="G10" i="4"/>
  <c r="I3" i="4"/>
  <c r="W3" i="6"/>
  <c r="V3" i="6"/>
  <c r="X3" i="6"/>
  <c r="U3" i="6"/>
  <c r="H3" i="4"/>
  <c r="H10" i="4" s="1"/>
  <c r="C68" i="4" s="1"/>
  <c r="S4" i="1"/>
  <c r="C4" i="6"/>
  <c r="J4" i="6" s="1"/>
  <c r="S3" i="1"/>
  <c r="J3" i="6"/>
  <c r="S5" i="1"/>
  <c r="C5" i="6"/>
  <c r="J5" i="6" s="1"/>
  <c r="AT5" i="1"/>
  <c r="AV5" i="1" s="1"/>
  <c r="AS5" i="1"/>
  <c r="AS4" i="1"/>
  <c r="AT4" i="1"/>
  <c r="AV4" i="1" s="1"/>
  <c r="AT3" i="1"/>
  <c r="AS3" i="1"/>
  <c r="AA5" i="8"/>
  <c r="AA9" i="8"/>
  <c r="AA13" i="8"/>
  <c r="AA20" i="8"/>
  <c r="AA24" i="8"/>
  <c r="AA28" i="8"/>
  <c r="AA32" i="8"/>
  <c r="AA36" i="8"/>
  <c r="AA40" i="8"/>
  <c r="AA48" i="8"/>
  <c r="AA52" i="8"/>
  <c r="AA56" i="8"/>
  <c r="AA60" i="8"/>
  <c r="AA64" i="8"/>
  <c r="AA68" i="8"/>
  <c r="S10" i="4" l="1"/>
  <c r="E86" i="4" s="1"/>
  <c r="E68" i="4"/>
  <c r="F68" i="4" s="1"/>
  <c r="L3" i="6"/>
  <c r="Y3" i="6"/>
  <c r="Z3" i="6" s="1"/>
  <c r="M3" i="6"/>
  <c r="D68" i="4"/>
  <c r="D73" i="4" s="1"/>
  <c r="F8" i="5" s="1"/>
  <c r="F3" i="5"/>
  <c r="O3" i="6"/>
  <c r="N3" i="6"/>
  <c r="AV3" i="1"/>
  <c r="AX3" i="1" s="1"/>
  <c r="AX5" i="1"/>
  <c r="AW5" i="1"/>
  <c r="AZ5" i="1"/>
  <c r="AX4" i="1"/>
  <c r="AW4" i="1"/>
  <c r="AZ4" i="1"/>
  <c r="F86" i="4" l="1"/>
  <c r="G3" i="10"/>
  <c r="F73" i="4"/>
  <c r="F8" i="10" s="1"/>
  <c r="F3" i="10"/>
  <c r="P3" i="6"/>
  <c r="Q3" i="6" s="1"/>
  <c r="AW3" i="1"/>
  <c r="AZ3" i="1"/>
  <c r="BB3" i="1" s="1"/>
  <c r="BB5" i="1"/>
  <c r="BA5" i="1"/>
  <c r="BD5" i="1"/>
  <c r="BD4" i="1"/>
  <c r="BB4" i="1"/>
  <c r="BA4" i="1"/>
  <c r="BA3" i="1" l="1"/>
  <c r="BD3" i="1"/>
  <c r="BF3" i="1" s="1"/>
  <c r="BE5" i="1"/>
  <c r="BF5" i="1"/>
  <c r="BF4" i="1"/>
  <c r="BE4" i="1"/>
  <c r="BE3" i="1" l="1"/>
  <c r="AH32" i="2" l="1"/>
  <c r="AH33" i="2"/>
  <c r="AH31" i="2"/>
  <c r="D9" i="4"/>
  <c r="D10" i="4" s="1"/>
  <c r="C3" i="5" l="1"/>
  <c r="F9" i="4"/>
  <c r="I9" i="4" s="1"/>
  <c r="E9" i="4"/>
  <c r="E10" i="4" l="1"/>
  <c r="D3" i="5" s="1"/>
  <c r="F10" i="4"/>
  <c r="K49" i="2"/>
  <c r="K54" i="2"/>
  <c r="K52" i="2"/>
  <c r="K51" i="2"/>
  <c r="K50" i="2"/>
  <c r="F18" i="4"/>
  <c r="E17" i="4"/>
  <c r="I10" i="4" l="1"/>
  <c r="C86" i="4" s="1"/>
  <c r="I18" i="4"/>
  <c r="E18" i="4"/>
  <c r="E24" i="4" s="1"/>
  <c r="D86" i="4" l="1"/>
  <c r="G3" i="5"/>
  <c r="E3" i="5"/>
  <c r="D77" i="4"/>
  <c r="I17" i="4"/>
  <c r="K41" i="2"/>
  <c r="K40" i="2"/>
  <c r="K39" i="2"/>
  <c r="K38" i="2"/>
  <c r="K36" i="2"/>
  <c r="K35" i="2"/>
  <c r="K34" i="2"/>
  <c r="K37" i="2"/>
  <c r="C24" i="4" l="1"/>
  <c r="I15" i="4"/>
  <c r="F24" i="4" l="1"/>
  <c r="D4" i="5"/>
  <c r="B4" i="5"/>
  <c r="AH91" i="2"/>
  <c r="D43" i="4"/>
  <c r="I24" i="4" l="1"/>
  <c r="C87" i="4" s="1"/>
  <c r="C78" i="4"/>
  <c r="F43" i="4"/>
  <c r="I43" i="4" s="1"/>
  <c r="D49" i="4"/>
  <c r="F49" i="4" s="1"/>
  <c r="C80" i="4" s="1"/>
  <c r="B8" i="5"/>
  <c r="E43" i="4"/>
  <c r="E49" i="4" s="1"/>
  <c r="D6" i="5" s="1"/>
  <c r="D8" i="5" s="1"/>
  <c r="E6" i="5" l="1"/>
  <c r="D80" i="4"/>
  <c r="E4" i="5"/>
  <c r="D78" i="4"/>
  <c r="D87" i="4"/>
  <c r="G4" i="5"/>
  <c r="I49" i="4"/>
  <c r="C89" i="4" s="1"/>
  <c r="C6" i="5"/>
  <c r="D82" i="4" l="1"/>
  <c r="E8" i="5" s="1"/>
  <c r="G6" i="5"/>
  <c r="D89" i="4"/>
  <c r="D91" i="4" s="1"/>
  <c r="G8" i="5" s="1"/>
  <c r="C8" i="5"/>
  <c r="AI101" i="2" l="1"/>
  <c r="R101" i="2"/>
  <c r="P54" i="4" l="1"/>
  <c r="S54" i="4" s="1"/>
  <c r="O54" i="4"/>
  <c r="AI102" i="2"/>
  <c r="R102" i="2"/>
  <c r="AI114" i="2"/>
  <c r="AI115" i="2"/>
  <c r="AI117" i="2"/>
  <c r="AI113" i="2"/>
  <c r="AI118" i="2"/>
  <c r="R118" i="2"/>
  <c r="AI111" i="2"/>
  <c r="R111" i="2"/>
  <c r="R112" i="2"/>
  <c r="AI112" i="2"/>
  <c r="R110" i="2"/>
  <c r="AI110" i="2"/>
  <c r="R109" i="2"/>
  <c r="AI109" i="2"/>
  <c r="R108" i="2"/>
  <c r="AI108" i="2"/>
  <c r="R107" i="2"/>
  <c r="AI107" i="2"/>
  <c r="R106" i="2"/>
  <c r="AI106" i="2"/>
  <c r="R105" i="2"/>
  <c r="AI105" i="2"/>
  <c r="R104" i="2"/>
  <c r="AI104" i="2"/>
  <c r="R103" i="2"/>
  <c r="AI103" i="2"/>
  <c r="P58" i="4"/>
  <c r="S58" i="4" s="1"/>
  <c r="P60" i="4"/>
  <c r="S60" i="4" s="1"/>
  <c r="M61" i="4" l="1"/>
  <c r="O56" i="4"/>
  <c r="P56" i="4"/>
  <c r="S56" i="4" s="1"/>
  <c r="O55" i="4"/>
  <c r="O58" i="4"/>
  <c r="O60" i="4"/>
  <c r="B7" i="10" l="1"/>
  <c r="P61" i="4"/>
  <c r="O61" i="4"/>
  <c r="D7" i="10" s="1"/>
  <c r="D8" i="10" s="1"/>
  <c r="B8" i="10" l="1"/>
  <c r="S61" i="4"/>
  <c r="E90" i="4" s="1"/>
  <c r="E81" i="4"/>
  <c r="E7" i="10" s="1"/>
  <c r="F90" i="4" l="1"/>
  <c r="F91" i="4" s="1"/>
  <c r="G8" i="10" s="1"/>
  <c r="G7" i="10"/>
  <c r="F81" i="4"/>
  <c r="F82" i="4" s="1"/>
  <c r="E8" i="10" s="1"/>
  <c r="AJ16" i="2" l="1"/>
  <c r="AJ28" i="2"/>
  <c r="AJ6" i="2"/>
  <c r="AJ30" i="2"/>
  <c r="W30" i="2"/>
  <c r="AJ22" i="2"/>
  <c r="AJ13" i="2"/>
  <c r="AJ12" i="2"/>
  <c r="U12" i="2"/>
  <c r="AJ20" i="2"/>
  <c r="AJ11" i="2"/>
  <c r="AJ26" i="2"/>
  <c r="AJ14" i="2"/>
  <c r="U14" i="2"/>
  <c r="AJ15" i="2"/>
  <c r="AJ25" i="2"/>
  <c r="AJ4" i="2"/>
  <c r="AJ18" i="2"/>
  <c r="AJ17" i="2"/>
  <c r="U17" i="2"/>
  <c r="W17" i="2" s="1"/>
  <c r="AJ8" i="2"/>
  <c r="AJ9" i="2"/>
  <c r="W25" i="2"/>
  <c r="Y5" i="4"/>
  <c r="AJ5" i="2"/>
  <c r="AJ31" i="2"/>
  <c r="AJ7" i="2"/>
  <c r="U7" i="2"/>
  <c r="U11" i="2"/>
  <c r="W11" i="2"/>
  <c r="W26" i="2"/>
  <c r="AJ23" i="2"/>
  <c r="AJ21" i="2"/>
  <c r="W21" i="2"/>
  <c r="U16" i="2"/>
  <c r="W16" i="2"/>
  <c r="Y9" i="4"/>
  <c r="AJ24" i="2"/>
  <c r="W24" i="2"/>
  <c r="W6" i="2"/>
  <c r="AJ10" i="2"/>
  <c r="U9" i="2"/>
  <c r="W9" i="2" s="1"/>
  <c r="U23" i="2"/>
  <c r="W23" i="2"/>
  <c r="AJ33" i="2"/>
  <c r="W8" i="2"/>
  <c r="Y4" i="4"/>
  <c r="AJ32" i="2"/>
  <c r="AJ29" i="2"/>
  <c r="U29" i="2"/>
  <c r="AJ19" i="2"/>
  <c r="U19" i="2"/>
  <c r="W18" i="2"/>
  <c r="U28" i="2"/>
  <c r="Y8" i="4"/>
  <c r="AJ27" i="2"/>
  <c r="Y7" i="4"/>
  <c r="W31" i="2"/>
  <c r="U10" i="2"/>
  <c r="W10" i="2"/>
  <c r="U32" i="2"/>
  <c r="W32" i="2" s="1"/>
  <c r="W4" i="2"/>
  <c r="U22" i="2"/>
  <c r="W27" i="2"/>
  <c r="U33" i="2"/>
  <c r="U5" i="2"/>
  <c r="W5" i="2"/>
  <c r="W19" i="2" l="1"/>
  <c r="W28" i="2"/>
  <c r="W14" i="2"/>
  <c r="W12" i="2"/>
  <c r="W29" i="2"/>
  <c r="Y6" i="4"/>
  <c r="AJ3" i="2"/>
  <c r="W33" i="2"/>
  <c r="W22" i="2"/>
  <c r="W3" i="2"/>
  <c r="W13" i="2"/>
  <c r="W15" i="2"/>
  <c r="W7" i="2"/>
  <c r="W20" i="2"/>
  <c r="Y3" i="4"/>
  <c r="Y10" i="4" l="1"/>
  <c r="G77" i="4"/>
  <c r="G86" i="4"/>
  <c r="AJ68" i="2"/>
  <c r="AJ64" i="2"/>
  <c r="AJ60" i="2"/>
  <c r="AJ56" i="2"/>
  <c r="AJ52" i="2"/>
  <c r="AJ48" i="2"/>
  <c r="AJ44" i="2"/>
  <c r="AJ40" i="2"/>
  <c r="AJ36" i="2"/>
  <c r="AJ67" i="2"/>
  <c r="AJ63" i="2"/>
  <c r="AJ59" i="2"/>
  <c r="AJ55" i="2"/>
  <c r="AJ51" i="2"/>
  <c r="AJ47" i="2"/>
  <c r="AJ43" i="2"/>
  <c r="AJ39" i="2"/>
  <c r="AJ35" i="2"/>
  <c r="W40" i="2"/>
  <c r="U44" i="2"/>
  <c r="AJ65" i="2"/>
  <c r="W67" i="2"/>
  <c r="U35" i="2"/>
  <c r="W39" i="2"/>
  <c r="AJ46" i="2"/>
  <c r="U46" i="2"/>
  <c r="W48" i="2"/>
  <c r="AJ50" i="2"/>
  <c r="W50" i="2"/>
  <c r="W56" i="2"/>
  <c r="AJ66" i="2"/>
  <c r="AJ62" i="2"/>
  <c r="AJ58" i="2"/>
  <c r="AJ54" i="2"/>
  <c r="AJ42" i="2"/>
  <c r="AJ38" i="2"/>
  <c r="AJ34" i="2"/>
  <c r="AJ61" i="2"/>
  <c r="AJ57" i="2"/>
  <c r="AJ53" i="2"/>
  <c r="AJ49" i="2"/>
  <c r="AJ45" i="2"/>
  <c r="AJ41" i="2"/>
  <c r="AJ37" i="2"/>
  <c r="W66" i="2"/>
  <c r="U68" i="2"/>
  <c r="W37" i="2"/>
  <c r="U45" i="2"/>
  <c r="W45" i="2"/>
  <c r="U47" i="2"/>
  <c r="W51" i="2"/>
  <c r="U61" i="2"/>
  <c r="U64" i="2"/>
  <c r="W64" i="2"/>
  <c r="Y20" i="4"/>
  <c r="U54" i="2"/>
  <c r="Y18" i="4"/>
  <c r="W58" i="2"/>
  <c r="U63" i="2"/>
  <c r="Z23" i="4"/>
  <c r="AC23" i="4" s="1"/>
  <c r="Z16" i="4"/>
  <c r="AC16" i="4" s="1"/>
  <c r="W59" i="2"/>
  <c r="Y21" i="4"/>
  <c r="Y19" i="4"/>
  <c r="U49" i="2"/>
  <c r="Y17" i="4"/>
  <c r="U60" i="2"/>
  <c r="Y22" i="4"/>
  <c r="H77" i="4" l="1"/>
  <c r="E3" i="12"/>
  <c r="H86" i="4"/>
  <c r="G3" i="12"/>
  <c r="Y15" i="4"/>
  <c r="Z18" i="4"/>
  <c r="AC18" i="4" s="1"/>
  <c r="Z22" i="4"/>
  <c r="AC22" i="4" s="1"/>
  <c r="Z17" i="4"/>
  <c r="AC17" i="4" s="1"/>
  <c r="Z19" i="4"/>
  <c r="AC19" i="4" s="1"/>
  <c r="Z21" i="4"/>
  <c r="AC21" i="4" s="1"/>
  <c r="Y16" i="4"/>
  <c r="Y24" i="4" s="1"/>
  <c r="Y23" i="4"/>
  <c r="W62" i="2"/>
  <c r="Z20" i="4"/>
  <c r="AC20" i="4" s="1"/>
  <c r="W61" i="2"/>
  <c r="W57" i="2"/>
  <c r="W55" i="2"/>
  <c r="W53" i="2"/>
  <c r="W49" i="2"/>
  <c r="W47" i="2"/>
  <c r="W41" i="2"/>
  <c r="W68" i="2"/>
  <c r="W63" i="2"/>
  <c r="W42" i="2"/>
  <c r="W38" i="2"/>
  <c r="W54" i="2"/>
  <c r="W52" i="2"/>
  <c r="W46" i="2"/>
  <c r="W43" i="2"/>
  <c r="W35" i="2"/>
  <c r="W65" i="2"/>
  <c r="W44" i="2"/>
  <c r="W36" i="2"/>
  <c r="W60" i="2"/>
  <c r="Z15" i="4"/>
  <c r="W34" i="2"/>
  <c r="G78" i="4" l="1"/>
  <c r="AC15" i="4"/>
  <c r="G87" i="4" s="1"/>
  <c r="H78" i="4" l="1"/>
  <c r="H82" i="4" s="1"/>
  <c r="E8" i="12" s="1"/>
  <c r="E4" i="12"/>
  <c r="H87" i="4"/>
  <c r="H91" i="4" s="1"/>
  <c r="G8" i="12" s="1"/>
  <c r="G4" i="12"/>
</calcChain>
</file>

<file path=xl/comments1.xml><?xml version="1.0" encoding="utf-8"?>
<comments xmlns="http://schemas.openxmlformats.org/spreadsheetml/2006/main">
  <authors>
    <author>Ancizar</author>
    <author>Heidy</author>
  </authors>
  <commentList>
    <comment ref="Q43" authorId="0">
      <text>
        <r>
          <rPr>
            <sz val="8"/>
            <color indexed="81"/>
            <rFont val="Tahoma"/>
            <family val="2"/>
          </rPr>
          <t xml:space="preserve">Meta real 39
</t>
        </r>
      </text>
    </comment>
    <comment ref="V125" authorId="1">
      <text>
        <r>
          <rPr>
            <b/>
            <sz val="9"/>
            <color indexed="81"/>
            <rFont val="Tahoma"/>
            <family val="2"/>
          </rPr>
          <t>El recurso es para la construcción del Bloque de Educación Sede Central.</t>
        </r>
      </text>
    </comment>
    <comment ref="V136" authorId="1">
      <text>
        <r>
          <rPr>
            <b/>
            <sz val="9"/>
            <color indexed="81"/>
            <rFont val="Tahoma"/>
            <family val="2"/>
          </rPr>
          <t>El recurso asignado es para hacer la renovación de la Afiliación de Icontec y la Auditoria de Seguimiento.</t>
        </r>
      </text>
    </comment>
  </commentList>
</comments>
</file>

<file path=xl/comments2.xml><?xml version="1.0" encoding="utf-8"?>
<comments xmlns="http://schemas.openxmlformats.org/spreadsheetml/2006/main">
  <authors>
    <author>Heidy</author>
  </authors>
  <commentList>
    <comment ref="O102" authorId="0">
      <text>
        <r>
          <rPr>
            <b/>
            <sz val="9"/>
            <color indexed="81"/>
            <rFont val="Tahoma"/>
            <family val="2"/>
          </rPr>
          <t>El recurso es para la construcción del Bloque de Educación Sede Central.</t>
        </r>
      </text>
    </comment>
    <comment ref="O113" authorId="0">
      <text>
        <r>
          <rPr>
            <b/>
            <sz val="9"/>
            <color indexed="81"/>
            <rFont val="Tahoma"/>
            <family val="2"/>
          </rPr>
          <t>El recurso asignado es para hacer la renovación de la Afiliación de Icontec y la Auditoria de Seguimiento.</t>
        </r>
      </text>
    </comment>
  </commentList>
</comments>
</file>

<file path=xl/comments3.xml><?xml version="1.0" encoding="utf-8"?>
<comments xmlns="http://schemas.openxmlformats.org/spreadsheetml/2006/main">
  <authors>
    <author>Ancizar</author>
  </authors>
  <commentList>
    <comment ref="G32" authorId="0">
      <text>
        <r>
          <rPr>
            <b/>
            <sz val="8"/>
            <color indexed="81"/>
            <rFont val="Tahoma"/>
            <family val="2"/>
          </rPr>
          <t>Ancizar:</t>
        </r>
        <r>
          <rPr>
            <sz val="8"/>
            <color indexed="81"/>
            <rFont val="Tahoma"/>
            <family val="2"/>
          </rPr>
          <t xml:space="preserve">
226,67%
</t>
        </r>
      </text>
    </comment>
    <comment ref="G35" authorId="0">
      <text>
        <r>
          <rPr>
            <b/>
            <sz val="8"/>
            <color indexed="81"/>
            <rFont val="Tahoma"/>
            <family val="2"/>
          </rPr>
          <t>Ancizar:</t>
        </r>
        <r>
          <rPr>
            <sz val="8"/>
            <color indexed="81"/>
            <rFont val="Tahoma"/>
            <family val="2"/>
          </rPr>
          <t xml:space="preserve">
150%
</t>
        </r>
      </text>
    </comment>
  </commentList>
</comments>
</file>

<file path=xl/sharedStrings.xml><?xml version="1.0" encoding="utf-8"?>
<sst xmlns="http://schemas.openxmlformats.org/spreadsheetml/2006/main" count="2457" uniqueCount="926">
  <si>
    <t>SF-PY1. Identidad con la Teleología Institucional.</t>
  </si>
  <si>
    <t>SF-PY2. Creación de nueva Oferta Académica en las Sedes.</t>
  </si>
  <si>
    <t>SF-PY3. Desarrollo Profesoral Permanente en lo Pedagógico, Disciplinar y Profesional.</t>
  </si>
  <si>
    <t>SF-PY4.  Autoevalución y Acreditación de Programas Académicos de Pregrado y Postgrado.</t>
  </si>
  <si>
    <t>SF-PY5.  Acreditación de Alta Calidad de la Universidad</t>
  </si>
  <si>
    <t>SF-PY6. Relevo Generacional con Excelencia Académica.</t>
  </si>
  <si>
    <t>SF-PY7. Fortalecimiento de los Vínculos Universidad - Egresados.</t>
  </si>
  <si>
    <t>Subsis-tema</t>
  </si>
  <si>
    <t>Proyectos</t>
  </si>
  <si>
    <t>Acciones</t>
  </si>
  <si>
    <t>Línea de Base</t>
  </si>
  <si>
    <t>Meta de Resultado</t>
  </si>
  <si>
    <t>Metas de Producto (%)</t>
  </si>
  <si>
    <t>Metas Anuales</t>
  </si>
  <si>
    <t>FORMACIÓN</t>
  </si>
  <si>
    <t>PY.1 Identidad con la teleología institucional</t>
  </si>
  <si>
    <t>Actividade de Inducción y Reinducción con estudiantes, profesores y administrativos.</t>
  </si>
  <si>
    <t>PY. 2 Creación de nueva oferta académica en las Sedes</t>
  </si>
  <si>
    <t>Pregrado</t>
  </si>
  <si>
    <t>Maestría</t>
  </si>
  <si>
    <t>Doctorado</t>
  </si>
  <si>
    <t>PY.3  Desarrollo profesoral permanente en lo pedagógico, disciplinar y profesional</t>
  </si>
  <si>
    <t>maestría</t>
  </si>
  <si>
    <t>capacitación en estrategias pedagógicas</t>
  </si>
  <si>
    <t xml:space="preserve">PY.4 Autoevaluación permanente  de programas de pregrado y postgrado </t>
  </si>
  <si>
    <t>pregrados</t>
  </si>
  <si>
    <t>postgrados</t>
  </si>
  <si>
    <t>PY.5 Acreditación de alta calidad de la Universidad</t>
  </si>
  <si>
    <t>Alistamiento de la USCO como Sistema en todos sus componentes</t>
  </si>
  <si>
    <t>PY.6 Relevo generacional con excelencia académica</t>
  </si>
  <si>
    <t>Graduados con identificación de potencial</t>
  </si>
  <si>
    <t>PY. 9 Fortalecimiento de los vínculos universidad - egresados</t>
  </si>
  <si>
    <t>Apoyar la realización de eventos y actividades de interacción e integración con egresados</t>
  </si>
  <si>
    <t>Subsistema</t>
  </si>
  <si>
    <t>INVESTIGACIÓN</t>
  </si>
  <si>
    <t>PY.1 Fortalecimiento de las capacidades de investigación, desarrollo e innovación</t>
  </si>
  <si>
    <t>Adquisición, mantenimiento y repotenciación de equipos especializados para investigación</t>
  </si>
  <si>
    <t>Adquisición y renovación licenciamientos  software especializado para investigación</t>
  </si>
  <si>
    <t xml:space="preserve">Finalización de tesis de maestrias, doctorados,postdoctorados;  pasantías y estancias internacionales para investigación. </t>
  </si>
  <si>
    <t>PY.2 Calidad Académica y formación en Investigación</t>
  </si>
  <si>
    <t>Talleres de evaluación y reformulación de microcurrículos</t>
  </si>
  <si>
    <t xml:space="preserve">Gestión y apoyo para la calidad académica y formación en investigación </t>
  </si>
  <si>
    <t>Sensibilización y acciones conjuntas en proyectos de investigación ONDAS</t>
  </si>
  <si>
    <t>Formulación y ejecución de proyectos articulados GRUPOS - PROGRAMA ONDAS</t>
  </si>
  <si>
    <t>Desarrollo de eventos académicos</t>
  </si>
  <si>
    <t>Capacitación y participación en eventos, investigadores USCO en proceso de formación</t>
  </si>
  <si>
    <t>PY.3 Calidad Académica y formación a través de la Investigación</t>
  </si>
  <si>
    <t>Proyectos de investigación en la modalidad de trabajos de grado</t>
  </si>
  <si>
    <t>Proyectos de investigación ejecutados por Semilleros de investigación</t>
  </si>
  <si>
    <t>Financiar la vinculación de jóvenesinvestigadores adscritos a grupos de investigación</t>
  </si>
  <si>
    <t>PY.4 Calidad Académica y ejecución de Investigación</t>
  </si>
  <si>
    <t xml:space="preserve">Financiar la ejecución de proyectos de investigación </t>
  </si>
  <si>
    <t>Gestión y apoyo a la ejecución de proyectos de investigación</t>
  </si>
  <si>
    <t xml:space="preserve">PY.5 Calidad Académica y gestión de Investigación </t>
  </si>
  <si>
    <t>Convenios cofinanciados</t>
  </si>
  <si>
    <t>PY.6 Articulación del Sistema Integrado de Información (TICs)</t>
  </si>
  <si>
    <t>Desarrollo aplicativo para gestión en investigación</t>
  </si>
  <si>
    <t xml:space="preserve">Gestión y apoyo para el desarrollo del aplicativo en gestión </t>
  </si>
  <si>
    <t xml:space="preserve">PY.7 Evaluación, dotación y consolidación de los Centros de Documentación, archivística y bases de datos  </t>
  </si>
  <si>
    <t>Adquisición o renovación bases de datos especializadas</t>
  </si>
  <si>
    <t>PY.8 Creación de Centros, Institutos de investigación, desarrollo Tecnológico e Innovación</t>
  </si>
  <si>
    <t>Fortalecimiento y creación de Centros de Investigación</t>
  </si>
  <si>
    <t>PY.9 Fortalecimiento  de las publicaciones científicas  y académicas de la Universidad.</t>
  </si>
  <si>
    <t>evaluación de articulos, diseño, diagramación, impresión  y publicación de revistas institucionales</t>
  </si>
  <si>
    <t>Curso - talleres en preparacion de libros de investigacion y articulos para revistas indexadas.</t>
  </si>
  <si>
    <t>evaluación, diseño, diagramación, impresión  y publicación de libros en las diferentes modalidades</t>
  </si>
  <si>
    <t>Gestión para el diseño, diagramación y publicación de revistas institucionales y libros</t>
  </si>
  <si>
    <t>PROYECCION SOCIAL</t>
  </si>
  <si>
    <t>PY. 1 Internacionalización Académica, Curricular y Administrativa</t>
  </si>
  <si>
    <t>Fomento y consolidación de la cultura de la internacionalización</t>
  </si>
  <si>
    <t>Apoyo para la Internacionalización de los  curriculos</t>
  </si>
  <si>
    <t>Apoyo a la movilidad académica de Docentes, Estudiantes y Personal Administrativo</t>
  </si>
  <si>
    <t>Apoyo a la internacionalización de la Investigación y la Proyección Social</t>
  </si>
  <si>
    <t>PY. 2 Regionalización de la Usco</t>
  </si>
  <si>
    <t>Implementación de la estratégia de regionalización de la Universidad</t>
  </si>
  <si>
    <t>PY. 3 Reformulación y fortalecimiento de las modalidades y formas de Proyección Social</t>
  </si>
  <si>
    <t>Macroproyectos de Proyección Social cofinanciados por la Universidad Surcolombiana</t>
  </si>
  <si>
    <t>Proyectos Solidarios de menor cuantia cofinanciados por la Universidad Surcolombiana</t>
  </si>
  <si>
    <t>Apoyo lógistico a actividades de Responsabilidad Social Universitaria</t>
  </si>
  <si>
    <t xml:space="preserve">Apoyo a la realización de eventos de Proyección Social </t>
  </si>
  <si>
    <t>Apoyo cursos de Formación continuada a egresados</t>
  </si>
  <si>
    <t>Apoyo financiero a la suscripción de convenios interinstitucionales</t>
  </si>
  <si>
    <t>Apoyo anual para el fortalecimiento y consolidación del Programa de Gestión Tecnológica</t>
  </si>
  <si>
    <t>PY. 4 Estructuración y desarrollo de las Unidades de Atención Especializada y de Emprendimiento e Innovación Institucional</t>
  </si>
  <si>
    <t>Implementación y operacionalización de la Unidad de Emprendimiento e Innovación</t>
  </si>
  <si>
    <t>PY. 5 Consolidación de la Alianza Estratégica Estado-Universidad-Empresa-Ciudadanía</t>
  </si>
  <si>
    <t>Proyectos Universidad, Empresa, Estado, Sociedad, financiados y cofinanciados por la Universidad</t>
  </si>
  <si>
    <t>Apoyo a la cofinanciación de proyectos de la alianza Universidad, Empresa, Estado, Sociead</t>
  </si>
  <si>
    <t>PY. 6 Estructuración y Desarrollo de la Agenda Social Regional</t>
  </si>
  <si>
    <t>1 Documento de acuerdos y compromisos de actores sociales con propuestas de políticas públicas del departamento del Huila</t>
  </si>
  <si>
    <t>Creación y puesta en funcionamiento de del Observatorio de medios sobre políticas públicas</t>
  </si>
  <si>
    <t xml:space="preserve">1 Proyecto de Acuerdo por medio del cual se crea el instituto de Estudios Surcolombianos </t>
  </si>
  <si>
    <t>PY. 7 Articulación de la Educación Superior con la Educación Media, el trabajo y el desarrollo humano</t>
  </si>
  <si>
    <t>Apoyo a los procesos de integración de la Educación Superior con la Educación Media, el trabajo y el desarrollo humano</t>
  </si>
  <si>
    <t>Programas de formación para el trabajo y el desarrollo humano con procesos de interacción de la Educación Superior con la Educación Media</t>
  </si>
  <si>
    <t>PY. 8 Fortalecimiento del sistema de comunicación e información institucional</t>
  </si>
  <si>
    <t>Plan Estratégico de Comunicaciones</t>
  </si>
  <si>
    <t>Manual de Identidad de Imagen de la USCO</t>
  </si>
  <si>
    <t>100% Cambio de marca Institucional</t>
  </si>
  <si>
    <t>Hosting y Dominio</t>
  </si>
  <si>
    <t>Fortalecimiento de medios audiovisuales institucionales</t>
  </si>
  <si>
    <t>BIENESTAR   UNIVERSITARIO</t>
  </si>
  <si>
    <t>PY. 1  Universidad Saludable</t>
  </si>
  <si>
    <t>Consultas de servicio médico</t>
  </si>
  <si>
    <t>consultas odontológicas</t>
  </si>
  <si>
    <t>consultas psicológicas</t>
  </si>
  <si>
    <t>Actividades de Higiene y seguridad industrial</t>
  </si>
  <si>
    <t>Actividades de Preventivas</t>
  </si>
  <si>
    <t>Salud ocupacional</t>
  </si>
  <si>
    <t>PY. 2  Recreación y Deportes con responsabilidad y compromiso</t>
  </si>
  <si>
    <t>Deporte y recreación (cobertura por servicios prestados)</t>
  </si>
  <si>
    <t>Beneficiarios de actividades deportivas</t>
  </si>
  <si>
    <t>Actividades deportivas</t>
  </si>
  <si>
    <t>PY. 3 Cultura con responsabilidad y compromiso</t>
  </si>
  <si>
    <t>Extensión cultural - Eventos</t>
  </si>
  <si>
    <t>Extensión cultural - número de participantes</t>
  </si>
  <si>
    <t>Talleres de formación</t>
  </si>
  <si>
    <t>Grupos artísticos</t>
  </si>
  <si>
    <t>PY. 4  Desarrollo Humano con responsabilidad y compromiso</t>
  </si>
  <si>
    <t>Eventos y sesiones relacionadas con el clima organizacional</t>
  </si>
  <si>
    <t>Eventos convivencia, integración y reconocimiento</t>
  </si>
  <si>
    <t>PY. 5  Desarrollo Socio-Económico con responsabilidad y compromiso</t>
  </si>
  <si>
    <t>Estudios socioeconómicos</t>
  </si>
  <si>
    <t>Servicio de restaurante Neiva (desayuno, almuerzo y cena)</t>
  </si>
  <si>
    <t>Servicio de restaurante sedes (merienda)</t>
  </si>
  <si>
    <t>Inclusión estudiantil - apoyo económico a estudiantes de pregrado MEN</t>
  </si>
  <si>
    <t>Apoyo socioeconómico a estudiantes de pregrado</t>
  </si>
  <si>
    <t>Inclusión estudiantil - apoyo económico a estudiantes de postgrado</t>
  </si>
  <si>
    <t>PY. 6  Promoción de la Permanencia y Graduación estudiantil en la Usco</t>
  </si>
  <si>
    <t>Número de estudiantes Activos</t>
  </si>
  <si>
    <t>ADMINISTRATIVO</t>
  </si>
  <si>
    <t>PY.1  Revisión, reforma y actualización de la plataforma jurídico-normativa institucional.</t>
  </si>
  <si>
    <t xml:space="preserve">Revisión y ajuste de normativa institucional acorde a las normas nacionales  </t>
  </si>
  <si>
    <t xml:space="preserve">PY.2  Desarrollo, construcción, dotación y mantenimiento de las Sedes </t>
  </si>
  <si>
    <t>Edificios modernos o No Patrimoniales</t>
  </si>
  <si>
    <t>Zonas deportivas, senderos, y zonas de esparcimiento</t>
  </si>
  <si>
    <t>Planta física adecuada para personal discapacitado</t>
  </si>
  <si>
    <t>Edificaciones adecuadas con normas de sismo resistencia</t>
  </si>
  <si>
    <t>Mantenimiento Infraestructura Física</t>
  </si>
  <si>
    <t>Internet</t>
  </si>
  <si>
    <t>Redes de voz y datos cableada</t>
  </si>
  <si>
    <t>Redes de voz y datos inalámbrica</t>
  </si>
  <si>
    <t>Equipos de computo (Docentes)</t>
  </si>
  <si>
    <t>Equipos de computo (Estudiantes)</t>
  </si>
  <si>
    <t>Aulas con tecnología audiovisual</t>
  </si>
  <si>
    <t>Equipos de Laboratorio</t>
  </si>
  <si>
    <t>Recursos Bibliográficos (libros)</t>
  </si>
  <si>
    <t>Recursos Bibliográficos (Bases de datos)</t>
  </si>
  <si>
    <t>100% actualizadas</t>
  </si>
  <si>
    <t>Dotación de aulas</t>
  </si>
  <si>
    <t>Sistema de Gestión de la Calidad</t>
  </si>
  <si>
    <t>Sistema de Gestión Ambiental</t>
  </si>
  <si>
    <t>Equipos de computo adtivos.</t>
  </si>
  <si>
    <t xml:space="preserve">Mantenimiento de Equipos </t>
  </si>
  <si>
    <t>Seguridad electrónica</t>
  </si>
  <si>
    <t>Dotación oficinas</t>
  </si>
  <si>
    <t>Formación y Capacitación al personal administrativo y Operativo</t>
  </si>
  <si>
    <t>PY. 3 Aseguramiento de los Sistemas de Gestión de Calidad y Gestión Ambiental</t>
  </si>
  <si>
    <t>Apoyo al proceso de mejoramiento continuo y de Acreditación Institucional</t>
  </si>
  <si>
    <t>PY. 4 Creación del Grupo de Proyectos Institucionales Especiales (GPIE)</t>
  </si>
  <si>
    <t>Conformación y consolidación del GPIE</t>
  </si>
  <si>
    <t>PY 5.  Reestructuración Organizacional académica y administrativa</t>
  </si>
  <si>
    <t>Conformación y operación del Comité de Reestructuración.</t>
  </si>
  <si>
    <t>Estudio y propuesta del Proyecto</t>
  </si>
  <si>
    <t>Implementación de la Regulación normativa interna de la reestructuración.</t>
  </si>
  <si>
    <t>PY.6  Desconcentración y delegación de los procesos administrativos y académicos</t>
  </si>
  <si>
    <t>Normas que permitan desconcentración y delegación</t>
  </si>
  <si>
    <t>PY. 7 Formación y Capacitación del Personal Administrativo y Operativo</t>
  </si>
  <si>
    <t>Capacitaciones al personal administrativo y operativo en asuntos tendientes a la acreditación institucional</t>
  </si>
  <si>
    <t>SF-PY1.1</t>
  </si>
  <si>
    <t>SF-PY1.2</t>
  </si>
  <si>
    <t>SF-PY1.3</t>
  </si>
  <si>
    <t>Actividades de Inducción y Reinducción con docentes, estudiantes y Administrativos para promover el conocimiento de la Teleología.</t>
  </si>
  <si>
    <t>Actividades para promover la Apropiación de la teleología Institucional. (Misión, La Visión, el Proyecto Educativo Institucional PEU).</t>
  </si>
  <si>
    <t>SF-PY1.4</t>
  </si>
  <si>
    <t>SF-PY1.5</t>
  </si>
  <si>
    <t xml:space="preserve">Desarrollo de Jornadas de Inducción obligatoria a todo miembro de la dirección académica y administrativa de la Universidad, particularmente integrantes de los Consejos Superior, Académico y de acultades y funcionarios administrativos responsables de unidades de apoyo estratégico. PLAN MEJORAMIENTO. </t>
  </si>
  <si>
    <t xml:space="preserve">Documento propuesta de Programa institucional de fomento para la participación y la democracia deliberativa. PLAN DE MEJORAMIENTO. </t>
  </si>
  <si>
    <t>SF-PY2.1</t>
  </si>
  <si>
    <t>SF-PY2.2</t>
  </si>
  <si>
    <t>SF-PY2.3</t>
  </si>
  <si>
    <t>SF-PY2.4</t>
  </si>
  <si>
    <t>SF-PY2.5</t>
  </si>
  <si>
    <t>SF-PY1</t>
  </si>
  <si>
    <t>SF-PY2</t>
  </si>
  <si>
    <t xml:space="preserve">Apoyo a la realización de estudios y diseños para la creación de programas de pregrado y postgrados. </t>
  </si>
  <si>
    <t xml:space="preserve">Oferta académica en el postacuerdo en el proceso de paz. </t>
  </si>
  <si>
    <t xml:space="preserve">Escuela de Postgrados </t>
  </si>
  <si>
    <t>Escuela de Formación e Innovación Tecnológica.</t>
  </si>
  <si>
    <t xml:space="preserve">Escuela de Educación Virtual </t>
  </si>
  <si>
    <t>Promoción de la imagen corporativa institucional, portafolio de servicios oferta académica.</t>
  </si>
  <si>
    <t>I TRIMESTRE</t>
  </si>
  <si>
    <t>ENE</t>
  </si>
  <si>
    <t>FEB</t>
  </si>
  <si>
    <t>MAR</t>
  </si>
  <si>
    <t>TOTAL</t>
  </si>
  <si>
    <t>CUMPLIMIENTO</t>
  </si>
  <si>
    <t>II TRIMESTRE</t>
  </si>
  <si>
    <t>META ANUAL</t>
  </si>
  <si>
    <t>ABR</t>
  </si>
  <si>
    <t>III TRIMESTRE</t>
  </si>
  <si>
    <t>JUN</t>
  </si>
  <si>
    <t>JUL</t>
  </si>
  <si>
    <t>AGO</t>
  </si>
  <si>
    <t>V TRIMESTRE</t>
  </si>
  <si>
    <t>Sin meta para el 2015</t>
  </si>
  <si>
    <t>Acción sin meta en el PDI para el 2015</t>
  </si>
  <si>
    <t>SEP</t>
  </si>
  <si>
    <t>OCT</t>
  </si>
  <si>
    <t>NOV</t>
  </si>
  <si>
    <t>DIC</t>
  </si>
  <si>
    <t>ACCIONES</t>
  </si>
  <si>
    <t>SIGLA</t>
  </si>
  <si>
    <t>SUB SISTEMA</t>
  </si>
  <si>
    <t>SF-PY3</t>
  </si>
  <si>
    <t>SF-PY3.1</t>
  </si>
  <si>
    <t>SF-PY3.2</t>
  </si>
  <si>
    <t>SF-PY3.3</t>
  </si>
  <si>
    <t>SF-PY3.4</t>
  </si>
  <si>
    <t>SF-PY3.5</t>
  </si>
  <si>
    <t xml:space="preserve">Escuela de Formación Pedagógica (formación y acompañamiento en Pedagogía, alcance y materialización del PEU v labor de conseierias). </t>
  </si>
  <si>
    <t>Capacitación Individual Docente</t>
  </si>
  <si>
    <t>Interlingua para Docentes.</t>
  </si>
  <si>
    <t xml:space="preserve">Oferta de Cursos Intersemestrales sobre áreas de conocimiento y culturas latinoamericanas, formación para la democracia. </t>
  </si>
  <si>
    <t xml:space="preserve">Elaboración y presentación del proyecto de reforma del actual instrumento de evaluación docente. PLAN DE MEJORAMIENTO. </t>
  </si>
  <si>
    <t>SF-PY4</t>
  </si>
  <si>
    <t>SF-PY4.1</t>
  </si>
  <si>
    <t>SF-PY4.2</t>
  </si>
  <si>
    <t>SF-PY4.3</t>
  </si>
  <si>
    <t>SF-PY4.4</t>
  </si>
  <si>
    <t>SF-PY4.5</t>
  </si>
  <si>
    <t>SF-PY4.6</t>
  </si>
  <si>
    <t>SF-PY4.7</t>
  </si>
  <si>
    <t>SF-PY4.8</t>
  </si>
  <si>
    <t>SF-PY4.9</t>
  </si>
  <si>
    <t>SF-PY5</t>
  </si>
  <si>
    <t>SF-PY5.1</t>
  </si>
  <si>
    <t>SF-PY6</t>
  </si>
  <si>
    <t>SF-PY6.1</t>
  </si>
  <si>
    <t>SF-PY6.2</t>
  </si>
  <si>
    <t>SF-PY6.3</t>
  </si>
  <si>
    <t>SF-PY7</t>
  </si>
  <si>
    <t>SF-PY7.1</t>
  </si>
  <si>
    <t>SF-PY7.2</t>
  </si>
  <si>
    <t>SF-PY7.3</t>
  </si>
  <si>
    <t xml:space="preserve">Apoyo a los procesos de autoevaluación en cada programa; Talleres de Analisis de información de producción de juicios de valor; Talleres de socialización de resultados; conocimientos de referencias; asesorias de pares colaborativos; reproducción de material. </t>
  </si>
  <si>
    <t xml:space="preserve">Aprestamiento en Lectura Crítica y Matemática- Plan de Fomento a la Calidad-FASE I-Permanencia y graduación. </t>
  </si>
  <si>
    <t xml:space="preserve">Fortalecimiento de las Competencias Genéricas Saber ProPlan de Fomento ala Calidad-FASE I -Permanencia y graduación. </t>
  </si>
  <si>
    <t xml:space="preserve">Consejerías Académicas-Plan de Fomento a la Calidad-FASE I-Permanencia y graduación. </t>
  </si>
  <si>
    <t>Apoyo a la Politica de Inclusión-Permanencia y graduación.</t>
  </si>
  <si>
    <t xml:space="preserve">Evaluación de las políticas de equidad de ingreso, permanencia y graduación en la Universidad a la luz de los nuevos lineamientos de la política pública de Inclusión. PLAN DE MEJORAMIENTO </t>
  </si>
  <si>
    <t xml:space="preserve">Elaboración y presentación de un proyecto de actualización del Manual de Convivencia Estudiantil con base en las nuevas normas institucionales y nacionales Y Realización de dos eventos para la socialización del Proyecto de actualización del Manual de Convivencia Estudiantil. PLAN DE MEJORAMIENTO </t>
  </si>
  <si>
    <t xml:space="preserve">Elaboración y presentación del proyecto de actualización del Estatuto de los Profesores Y Realización de dos eventos para la socialización del Proyecto del Estatuto Docente. PLAN DE MEJORAMIENTO </t>
  </si>
  <si>
    <t xml:space="preserve">Estudio analitico de la pertinencia y relevancia de los currículos y planes de estudio por cada uno de los Programas Académicos de pregrado y posgrado de la USCO </t>
  </si>
  <si>
    <t xml:space="preserve">Funcionamiento de la Unidad de Apoyo a los Procesos de Autoevaluación y Acreditación Institucional. </t>
  </si>
  <si>
    <t xml:space="preserve">Estudio para la definición de necesidades de vinculación de nuevos de profesores de tiempo completo hacia el año 2020 para el cumplimiento de las funciones misionales de la USCO. PLAN MEJORAMIENTO </t>
  </si>
  <si>
    <t xml:space="preserve">Elaboración del estudio analitico para la reformulación de la actual política de relevo generacional. PLAN MEJORAMIENTO </t>
  </si>
  <si>
    <t xml:space="preserve">Vinculación de estudiantes en procesos institucionales. </t>
  </si>
  <si>
    <t>Portal Laboral, fortalecimiento del vínculo empresauniversidad-estado</t>
  </si>
  <si>
    <t xml:space="preserve">Programa de Seguimiento a Graduados, Apoyo a procesos de educación continuada. </t>
  </si>
  <si>
    <t>Mejoramiento de la infraestructura tecnológica para el segumiento a egresados</t>
  </si>
  <si>
    <t>PY.4 Autoevaluación permanente  de programas de pregrado y postgrado</t>
  </si>
  <si>
    <t>ASIGNADO</t>
  </si>
  <si>
    <t>EJECUTADO</t>
  </si>
  <si>
    <t>RESPONSABLE</t>
  </si>
  <si>
    <t>V. ACADÉMICA  F. EDUCACION</t>
  </si>
  <si>
    <t>V. ACADÉMICA  FACIEN</t>
  </si>
  <si>
    <t xml:space="preserve">V. ACADÉMICA  </t>
  </si>
  <si>
    <t xml:space="preserve">V. ACADÉMICA FAECO EDUCACIÓN FACIEN  </t>
  </si>
  <si>
    <t xml:space="preserve">V. ACADÉMICA F. SALUD F.INGENIERIA FACECO              F. EDUCACIÓN FACIEN  </t>
  </si>
  <si>
    <t xml:space="preserve">V. ACADÉMICA F. SALUD FACECO              F. EDUCACION FACIEN  </t>
  </si>
  <si>
    <t xml:space="preserve">V. ACADÉMICA F SALUD  </t>
  </si>
  <si>
    <t xml:space="preserve">V. ACADÉMICA S GENERAL  </t>
  </si>
  <si>
    <t xml:space="preserve">V. ACADÉMICA FAECO                 F EDUCACIÓN FACIEN  </t>
  </si>
  <si>
    <t>EFICIENCIA</t>
  </si>
  <si>
    <t>Proyecto</t>
  </si>
  <si>
    <t>Asignado</t>
  </si>
  <si>
    <t>Ejecutado</t>
  </si>
  <si>
    <t>Saldo</t>
  </si>
  <si>
    <t>2er Trimestre Subsistema Formación</t>
  </si>
  <si>
    <t>3er Trimestre Subsistema Formación</t>
  </si>
  <si>
    <t>4to Trimestre Subsistema Formación</t>
  </si>
  <si>
    <t>Rojo</t>
  </si>
  <si>
    <t>Amarillo</t>
  </si>
  <si>
    <t>Verde</t>
  </si>
  <si>
    <t>Azul</t>
  </si>
  <si>
    <t>Total</t>
  </si>
  <si>
    <t>PY.2 Creación de nueva oferta académica en las Sedes</t>
  </si>
  <si>
    <t>EFICACIA</t>
  </si>
  <si>
    <t>EFECTIVIDAD</t>
  </si>
  <si>
    <t>PROYECTADO</t>
  </si>
  <si>
    <t>AVANCE</t>
  </si>
  <si>
    <t>MAY</t>
  </si>
  <si>
    <t>EFICACIA ACUMULADA</t>
  </si>
  <si>
    <t>PY.7 Fortalecimiento de los Vínculos Universidad - Egresados.</t>
  </si>
  <si>
    <t>SI-PY1</t>
  </si>
  <si>
    <t>SI-PY1.1</t>
  </si>
  <si>
    <t>Adquisición de equipos de laboratorio para investigación</t>
  </si>
  <si>
    <t>SI-PY1.2</t>
  </si>
  <si>
    <t>Adquisición y renovación de licencias software Y bases de datos especializadas para actividades de investigación</t>
  </si>
  <si>
    <t>SI-PY1.3</t>
  </si>
  <si>
    <t>Apoyo a la formación de alto nivel (Maestrias, doctorados, posdoctorados).</t>
  </si>
  <si>
    <t>SI-PY1.4</t>
  </si>
  <si>
    <t>Fortalecimiento de las capacidades investigativas para la acreditación Institucional</t>
  </si>
  <si>
    <t>SI-PY1.5</t>
  </si>
  <si>
    <t>SI-PY1.6</t>
  </si>
  <si>
    <t xml:space="preserve"> Proyecto de Investigación Permanencia y Graduación.</t>
  </si>
  <si>
    <t>SI-PY1.7</t>
  </si>
  <si>
    <t xml:space="preserve">Apoyo a procesos de patentabilidad. </t>
  </si>
  <si>
    <t>SI-PY2</t>
  </si>
  <si>
    <t>SI-PY2.1</t>
  </si>
  <si>
    <t>Taller Carpintería para la investigación.con experto en Gestión y  propiación social del conocimiento</t>
  </si>
  <si>
    <t>SI-PY2.2</t>
  </si>
  <si>
    <t>Apoyo al desarrollo de los proyectos formulados por los grupos, en el marco del convenio ONDAS.</t>
  </si>
  <si>
    <t>SI-PY2.3</t>
  </si>
  <si>
    <t>Apoyo a la formulación, ejecución y divulgación de eventos académicos, presentación de ponencias en eventos nacionales e internacionales</t>
  </si>
  <si>
    <t>SI-PY2.4</t>
  </si>
  <si>
    <t xml:space="preserve">Capacitación y participación de la Facultad de Ciencias Jurídicas y Políticas en eventos de formación. </t>
  </si>
  <si>
    <t>SI-PY2.5</t>
  </si>
  <si>
    <t xml:space="preserve">Apoyo a la consolidación de grupos de Investigación. </t>
  </si>
  <si>
    <t>SI-PY2.6</t>
  </si>
  <si>
    <t xml:space="preserve">Diseño del documento de Política y estrategia institucional para favorecer la formación investigativa, la investigación formativa y la investigación en sentido estricto. PLAN DE MEJORAMIENTO </t>
  </si>
  <si>
    <t>SI-PY2.7</t>
  </si>
  <si>
    <t>Apoyo al desarrollo de los Doctorados: Agroindustria y Desarrollo Agricola Sostenible; Educación y Cultura Ambiental; en Ciencias de la Salud.</t>
  </si>
  <si>
    <t>SI-PY3</t>
  </si>
  <si>
    <t>SI-PY3.1</t>
  </si>
  <si>
    <t>Financiación de proyectos de investigación en modalidad trabajos de grado</t>
  </si>
  <si>
    <t>SI-PY3.2</t>
  </si>
  <si>
    <t>Financiación de proyectos ejecutados por semilleros de investigación</t>
  </si>
  <si>
    <t>SI-PY3.3</t>
  </si>
  <si>
    <t>Financiar la vinculación de jóvenes investigadore</t>
  </si>
  <si>
    <t>SI-PY3.4</t>
  </si>
  <si>
    <t xml:space="preserve">Capacitación y Desarrollo de talleres para la formación de la investigación. </t>
  </si>
  <si>
    <t>SI-PY4</t>
  </si>
  <si>
    <t>SI-PY4.1</t>
  </si>
  <si>
    <t>Financiar proyectos de investigación de convocatorias internas y externas</t>
  </si>
  <si>
    <t>SI-PY5</t>
  </si>
  <si>
    <t>SI-PY5.1</t>
  </si>
  <si>
    <t>Convenios cofinanciadoS</t>
  </si>
  <si>
    <t>SI-PY5.2</t>
  </si>
  <si>
    <t>Gestión de proyectos de investigación en cooperación regional nacional y/o internacional.</t>
  </si>
  <si>
    <t>SI-PY6</t>
  </si>
  <si>
    <t>SI-PY6.1</t>
  </si>
  <si>
    <t>Elaboración del documento sobre los procesos y procedimientos para la recolección y organización de la información en sistemas integrados como base para la toma de decisiones calificadas y la visibilización interna y externa de la imagen de la Institución. PLAN DE MEJORAMIENTO</t>
  </si>
  <si>
    <t>SI-PY6.2</t>
  </si>
  <si>
    <t xml:space="preserve">Diseños de aplicativos digitales para la investigación. </t>
  </si>
  <si>
    <t>SI-PY7</t>
  </si>
  <si>
    <t>SI-PY7.1</t>
  </si>
  <si>
    <t>Estudio que defina el procedimiento que permita la descentralización de los recursos financieros de la VIPS para la dotación y actualización bibliográfica y bases de datos del Centro de Información y Documentación. PLAN MEJORAMIENTO</t>
  </si>
  <si>
    <t>SI-PY8</t>
  </si>
  <si>
    <t>SI-PY8.1</t>
  </si>
  <si>
    <t>Apoyo a la creación y fortalecimiento de centros de investigación y vigilancia tecnológica e innovación</t>
  </si>
  <si>
    <t>SI-PY8.2</t>
  </si>
  <si>
    <t>Apoyo a Proyectos de Investigación ejecutados por los Centros de Desarrollo Tecnológicos</t>
  </si>
  <si>
    <t>SI-PY8.3</t>
  </si>
  <si>
    <t>Un estudio técnico para formalizar el diseño e implementación del plan estratégico de Ciencia, Tecnología e Innovación y Desarrollo CTI+D. PIAN MEJORAMIENTO</t>
  </si>
  <si>
    <t>SI-PY9</t>
  </si>
  <si>
    <t>SI-PY9.1</t>
  </si>
  <si>
    <t xml:space="preserve">Gestión para la consolidación de revistas científicas instituciones (corrección de estilo, elaboración de abstracs, diseño, diagramación, capacitación a editores y publicación de revistas). </t>
  </si>
  <si>
    <t>SI-PY9.2</t>
  </si>
  <si>
    <t>Apoyo y fortalecimiento a la consolidación de la editorial Surcolombiana( corrección de estilo, diseño, diagramación, capacitación a editores y publicación de libros institucionales)</t>
  </si>
  <si>
    <t>SI-PY9.3</t>
  </si>
  <si>
    <t>Reformulación y aprobación de la política de Propiedad Intelectual con la  Inclusión del reconocimiento a la innovación y a la creación artística y cultural en sus diversas formas de los profesores. Estudio análitico que condicionen la permanencia del docente en la respectiva categoría del escalafón y garantizarle los estímulos o apoyos económicos resultados de su innovación o creación artística y cultural. PLAN MEJORAMIENTO</t>
  </si>
  <si>
    <t>VIPS</t>
  </si>
  <si>
    <t>VIPS  FACIEN</t>
  </si>
  <si>
    <t>V. VIPS  FACECO</t>
  </si>
  <si>
    <t>VIPS       FACECO              F. EDUCACIÓN FCJP</t>
  </si>
  <si>
    <t>VIPS              FCJP</t>
  </si>
  <si>
    <t xml:space="preserve">VIPS
F. INGENIERÍA
FACECO
F. EDUCACIÓN
FACIEN </t>
  </si>
  <si>
    <t>VIPS
FACECO</t>
  </si>
  <si>
    <t xml:space="preserve">VI PS
F. EDUCACIÓN
FACIEN  </t>
  </si>
  <si>
    <t xml:space="preserve">F. SALUD   </t>
  </si>
  <si>
    <t>VIPS
F. INGENIERÍA
FACECO
FCJP</t>
  </si>
  <si>
    <t xml:space="preserve">vi PS
FACECO </t>
  </si>
  <si>
    <t>SP-PY1</t>
  </si>
  <si>
    <t>SP-PY1.1</t>
  </si>
  <si>
    <t>Apoyo ala visibilidad nacional e internacional de la Universidad (movilidad académica de docentes, estudiantes y personal administrativo y expertos invitados, internacionalización de la proyección social.</t>
  </si>
  <si>
    <t>SP-PY1.2</t>
  </si>
  <si>
    <t xml:space="preserve">Elaboración e implementación del estudio sobre políticas y estrategias sobre la consolidación de los procesos de articulación e integración acional e internacional a través de Redes para la interrelación de acciones académicas, investigativas, curriculares y administrativas de la Universidad. PLAN MEJORAMIENTO. </t>
  </si>
  <si>
    <t>SP-PY1.3</t>
  </si>
  <si>
    <t>Apoyo a los procesos y fortalecimiento de alianzas académico-administrativas entre la Universidad y organismos públicos y privados.</t>
  </si>
  <si>
    <t>SP-PY2</t>
  </si>
  <si>
    <t>SP-PY2.1</t>
  </si>
  <si>
    <t>Apoyo y gestión en acciones, proyectos y eventos para regionalización.</t>
  </si>
  <si>
    <t>SP-PY3</t>
  </si>
  <si>
    <t xml:space="preserve">Ejecución de Macroproyectos de Proyección social (DESCA, Museo Geológico, Banco de Sangre y Surcopaz) </t>
  </si>
  <si>
    <t>Gestión y ejecución de Proyectos solidarios cofinanciados (Convenios).</t>
  </si>
  <si>
    <t>Ejecución Banco de Proyectos, convocatoria interna Proyección Social).</t>
  </si>
  <si>
    <t>Apoyos logístico a proyectos de responsabilidad social universitaria (POAI Facultades)</t>
  </si>
  <si>
    <t>SI-PY3.5</t>
  </si>
  <si>
    <t>Apoyos financieros a la suscripción de convenios interinstítucionales</t>
  </si>
  <si>
    <t>SI-PY3.6</t>
  </si>
  <si>
    <t>Apoyo a la gestión academico-administrativa de la Proyección Social.</t>
  </si>
  <si>
    <t>SI-PY3.7</t>
  </si>
  <si>
    <t>Evaluación de la interacción con el medio social, cultural, político, productivo, el impacto Social de las prácticas profesionales y las pasantías. Elaboración y aprobación de las políticas y programas de Interacción Social. PLAN DE MEJORAMIENTO</t>
  </si>
  <si>
    <t>SP-PY4</t>
  </si>
  <si>
    <t>Implementación y operacionalización de la Unidad de Ernprendimiento e Innovación.</t>
  </si>
  <si>
    <t>SI-PY4.2</t>
  </si>
  <si>
    <t>mplementación y operaclonalización de la Unidad de Atención Psicológica (USAP)</t>
  </si>
  <si>
    <t>SP-PY5</t>
  </si>
  <si>
    <t>Apoyo para la gestión y ejecución de Proyectos y eventos en el marco de la  Alianza Universidad-Empresa-Estado-Sociedad</t>
  </si>
  <si>
    <t>SP-PY6</t>
  </si>
  <si>
    <t>Apoyo a la gestión de proyectos de agenda social.</t>
  </si>
  <si>
    <t>SP-PY7</t>
  </si>
  <si>
    <t>Apoyo a los procesos de integración de la Educación Superior con la educación Media, el trabajo y el desarrollo humano</t>
  </si>
  <si>
    <t>SP-PY8</t>
  </si>
  <si>
    <t>Talleres y Actividades con participación de la comunidad académica y administrativa para actualizar diagnósticos sobre demandas comunicacionales de la Universidad</t>
  </si>
  <si>
    <t>Elaboración de prospectos, revistas e instructivos-publicidad</t>
  </si>
  <si>
    <t>VIPS
F. SALUD 
FACECO
F.EDUCAOÓN 
F.CJ.P          FACIEN</t>
  </si>
  <si>
    <t>VIPS
FACECO
F.EDUCACIÓN</t>
  </si>
  <si>
    <t xml:space="preserve">VIPS                      F SALUD 
F. INGENIERÍA
FACECO 
F. EDUCACIÓN </t>
  </si>
  <si>
    <t xml:space="preserve">VIPS                      F SALUD </t>
  </si>
  <si>
    <t xml:space="preserve">VIPS                      F SALUD 
F. INGENIERÍA
FACECO 
F. EDUCACIÓN  FCJP </t>
  </si>
  <si>
    <t xml:space="preserve">VI PS
F. SALUD 
F. INGENIERÍA
F.EDUCACIÓN 
F.CJ.P.
FAa EN </t>
  </si>
  <si>
    <t>SB-PY1</t>
  </si>
  <si>
    <t>SB-PY1.1</t>
  </si>
  <si>
    <t>Atención apersonas en drogadicción, prostitución y E.T.V. en las Sedes</t>
  </si>
  <si>
    <t>SB-PY1.2</t>
  </si>
  <si>
    <t>USCO saludable</t>
  </si>
  <si>
    <t>SB-PY1.3</t>
  </si>
  <si>
    <t>Proyecto de Inclusión y atención de la población con diversidad funcional en la USCO</t>
  </si>
  <si>
    <t>SB-PY2</t>
  </si>
  <si>
    <t>SB-PY2.1</t>
  </si>
  <si>
    <t>Actividades deportivas de todas las Sedes.</t>
  </si>
  <si>
    <t>SB-PY3</t>
  </si>
  <si>
    <t>SB-PY3.1</t>
  </si>
  <si>
    <t>Actividades Culturales de todas las Sedes</t>
  </si>
  <si>
    <t>SB-PY4</t>
  </si>
  <si>
    <t>SB-PY4.1</t>
  </si>
  <si>
    <t>Apoyo a actividades de clima organizacional, docentes, estudiantes y Administrativos en las Sedes</t>
  </si>
  <si>
    <t>SB-PY4.2</t>
  </si>
  <si>
    <t xml:space="preserve">Estudio analítico sobre los programas, proyectos y servicios de Bienestar universitario y su impacto en el clima institucional. PLAN MEJORAMIENTO. </t>
  </si>
  <si>
    <t>SB-PY5</t>
  </si>
  <si>
    <t>SB-PY5.1</t>
  </si>
  <si>
    <t>Prestación de servicio de restaurante a los estudiantes en las Sedes</t>
  </si>
  <si>
    <t>SB-PY5.2</t>
  </si>
  <si>
    <t>Atención a población estudiantil en situación de extrema vulnerabilidad en las Sedes.</t>
  </si>
  <si>
    <t>SB-PY6</t>
  </si>
  <si>
    <t>SB-PY6.1</t>
  </si>
  <si>
    <t>Estudio analitico de necesidades socio-económicas y culturales de los estudiantes de la Universidad para incrementar el portafolio de servicios de bienestar universitario de estímulos y apoyos institucionales de ingreso, permanencia y graduación de todas las cohortes en cada periodo académico. PLAN DE MEJORAMIENTO</t>
  </si>
  <si>
    <t>SB-PY7</t>
  </si>
  <si>
    <t>SB-PY7.1</t>
  </si>
  <si>
    <t>Prestación servicio médico a estudiantes en las Sedes.</t>
  </si>
  <si>
    <t>SB-PY7.2</t>
  </si>
  <si>
    <t>Prestación servicio odontólogico a estudiantes en las Sedes</t>
  </si>
  <si>
    <t>SB-PY7.3</t>
  </si>
  <si>
    <t>Prestación servicio Psicológico a estudiantes en las Sedes</t>
  </si>
  <si>
    <t>VIC.
ADTIVA</t>
  </si>
  <si>
    <t>VI C. ADTIVA.
F. SALUD 
FACECO
FACIEN</t>
  </si>
  <si>
    <t>VIC. ADTIVA.
F. SALUD 
FACECO
F. EDUCACIÓN 
F.C.J.P.
FACIEN</t>
  </si>
  <si>
    <t>SA-PY1</t>
  </si>
  <si>
    <t>SA-PY1.1</t>
  </si>
  <si>
    <t>Revisión y análisis de la normatividad con el propósito de  actualizarla de acuerdo a lineamientos legales vigentes que rigen la Educación Superior</t>
  </si>
  <si>
    <t>SA-PY2</t>
  </si>
  <si>
    <t>SA-PY2a.1</t>
  </si>
  <si>
    <t>Construcción de infraestructura física en todas las Sedes.</t>
  </si>
  <si>
    <t>SA-PY2a.2</t>
  </si>
  <si>
    <t>Adecuaciones, mantenimientos y mejoras en infraestructura de todas las sedes</t>
  </si>
  <si>
    <t>SA-PY2b.1</t>
  </si>
  <si>
    <t>Dotación de equipos, accesorios, reactivos e insumos para laboratorios de todas las Sedes</t>
  </si>
  <si>
    <t>SA-PY2b.2</t>
  </si>
  <si>
    <t>Dotación de muebles y equipos de oficinas para todas las Sedes</t>
  </si>
  <si>
    <t>SA-PY2b.3</t>
  </si>
  <si>
    <t>Adquisición bibliografía y bases de datos</t>
  </si>
  <si>
    <t>SA-PY2b.4</t>
  </si>
  <si>
    <t>Mantenimiento de Equipos de Laboratorio, Muebles, accesorios y equipos de Oficina de todas las sedes</t>
  </si>
  <si>
    <t>SA-PY2b.5</t>
  </si>
  <si>
    <t>Dotación de elementos de aseo y cafetería</t>
  </si>
  <si>
    <t>SA-PY2b.6</t>
  </si>
  <si>
    <t>Dotación, renovación de Software y licencias</t>
  </si>
  <si>
    <t>SA-PY2b.7</t>
  </si>
  <si>
    <t>Contratación personal para mantenimiento CTIC.</t>
  </si>
  <si>
    <t>SA-PY3</t>
  </si>
  <si>
    <t>SA-PY3.1</t>
  </si>
  <si>
    <t>Desarrollo de las actividades Gestión Ambiental y vinculación personal del Proyecto</t>
  </si>
  <si>
    <t>SA-PY3.2</t>
  </si>
  <si>
    <t>Actualización y desarrollo del Sistema de Gestión de Calidad con el Plan de Desarrollo y vinculación personal del Proyecto</t>
  </si>
  <si>
    <t>SA-PY3.3</t>
  </si>
  <si>
    <t>Afiliación y Auditoria de seguimiento de la Certificación ISO 9001:2015 NTCGP 1000:2009, ISO 14001:2004</t>
  </si>
  <si>
    <t>SA-PY3.4</t>
  </si>
  <si>
    <t>Gestión de la estructura academico-administrativa y Financiera</t>
  </si>
  <si>
    <t>SA-PY3.5</t>
  </si>
  <si>
    <t>Promoción de la cultura de la autoevaluación y la autorregulación en la comunidad universitaria. PLAN DE  MEJORAMIENTO</t>
  </si>
  <si>
    <t>SA-PY5</t>
  </si>
  <si>
    <t>SA-PY5.1</t>
  </si>
  <si>
    <t>Elaboración de estudio de factibilidad ténico-financiero de la modernización académico administrativa. PLAN DE MEJORAMIENTO</t>
  </si>
  <si>
    <t>SA-PY7</t>
  </si>
  <si>
    <t>SA-PY7.1</t>
  </si>
  <si>
    <t>Ejecución Plan de Capacitación para el personal Administrativo y de Trabajadores Oficiales. PIAN DE MEJORAMIENTO.</t>
  </si>
  <si>
    <t>VIC. ADTIVA. 
F. SALUD</t>
  </si>
  <si>
    <t>VIC. ADTIVA</t>
  </si>
  <si>
    <t xml:space="preserve">VIC.ADTIVA.
F. SALUD
FACECO 
F. EDUCACIÓN
F.C.J.P.
FACI EN </t>
  </si>
  <si>
    <t>VIC.ADTIVA.
F. EDUCACIÓN  FACIEN</t>
  </si>
  <si>
    <t xml:space="preserve">F. SALUD
FACECO 
F. EDUCACIÓN
FACIEN </t>
  </si>
  <si>
    <t xml:space="preserve">VIC.ADTIVA.
F. SALUD
FACECO </t>
  </si>
  <si>
    <t>VI C.ADTI VA</t>
  </si>
  <si>
    <t xml:space="preserve">OFICINA
PLANEACION </t>
  </si>
  <si>
    <t>RECTORÍA
ACREDITACIÓN 
INSTITUCIONAL</t>
  </si>
  <si>
    <t>VIC ADTI VA.
SECRETARÍA 
GENERAL</t>
  </si>
  <si>
    <t>VIC ADTI VA.
F SALUD 
F EDUCACION</t>
  </si>
  <si>
    <t>SA-PY4</t>
  </si>
  <si>
    <t>SA-PY6</t>
  </si>
  <si>
    <t>1er Trimestre Subsistema Investigación</t>
  </si>
  <si>
    <t>2er Trimestre Subsistema Investigación</t>
  </si>
  <si>
    <t>3er Trimestre Subsistema Investigación</t>
  </si>
  <si>
    <t>4to Trimestre Subsistema Investigación</t>
  </si>
  <si>
    <t>PY.7 Evaluación, dotación y consolidación de los Centros de Documentación, archivística y bases de datos</t>
  </si>
  <si>
    <t>PY.3 Reformulación y fortalecimiento de las modalidades y formas de Proyección Social</t>
  </si>
  <si>
    <t>PY.4 Estructuración y desarrollo de las Unidades de Atención Especializada y de Emprendimiento e Innovación Institucional</t>
  </si>
  <si>
    <t>PY.5 Consolidación de la Alianza Estratégica Estado-Universidad-Empresa-Ciudadanía</t>
  </si>
  <si>
    <t>PY.6 Estructuración y Desarrollo de la Agenda Social Regional</t>
  </si>
  <si>
    <t>PY.7 Articulación de la Educación Superior con la Educación Media, el trabajo y el desarrollo humano</t>
  </si>
  <si>
    <t>PY.8 Fortalecimiento del sistema de comunicación e información institucional</t>
  </si>
  <si>
    <t>PY.1  Universidad Saludable</t>
  </si>
  <si>
    <t>PY.2  Recreación y Deportes con responsabilidad y compromiso</t>
  </si>
  <si>
    <t>PY.3 Cultura con responsabilidad y compromiso</t>
  </si>
  <si>
    <t>PY.4  Desarrollo Humano con responsabilidad y compromiso</t>
  </si>
  <si>
    <t>PY.5  Desarrollo Socio-Económico con responsabilidad y compromiso</t>
  </si>
  <si>
    <t>PY.6  Promoción de la Permanencia y Graduación estudiantil en la Usco</t>
  </si>
  <si>
    <t>PY.3 Aseguramiento de los Sistemas de Gestión de Calidad y Gestión Ambiental</t>
  </si>
  <si>
    <t>PY.4 Creación del Grupo de Proyectos Institucionales Especiales (GPIE)</t>
  </si>
  <si>
    <t>PY.5 Reestructuración Organizacional académica y administrativa</t>
  </si>
  <si>
    <t>PY.6 Desconcentración y delegación de los procesos administrativos y académicos</t>
  </si>
  <si>
    <t>PY.7 Formación y Capacitación del Personal Administrativo y Operativo</t>
  </si>
  <si>
    <t>2er Trimestre Subsistema Proyección Social</t>
  </si>
  <si>
    <t>3er Trimestre SubsistemaProyección Social</t>
  </si>
  <si>
    <t>4to Trimestre Subsistema Proyección Social</t>
  </si>
  <si>
    <t>1er Trimestre Subsistema  Proyección Social</t>
  </si>
  <si>
    <t>1er Trimestre Subsistema  Bienestar universitario</t>
  </si>
  <si>
    <t>2er Trimestre Subsistema  Bienestar universitario</t>
  </si>
  <si>
    <t>3er Trimestre Subsistema  Bienestar universitario</t>
  </si>
  <si>
    <t>4to Trimestre Subsistema  Bienestar universitario</t>
  </si>
  <si>
    <t>1er Trimestre Subsistema  Adminitrativo</t>
  </si>
  <si>
    <t>2er Trimestre Subsistema  Adminitrativo</t>
  </si>
  <si>
    <t>3er Trimestre Subsistema  Adminitrativo</t>
  </si>
  <si>
    <t>4to Trimestre Subsistema  Adminitrativo</t>
  </si>
  <si>
    <t>SUBSISTEMAS</t>
  </si>
  <si>
    <t>SUBSISTEMA DE INVESTIGACIÓN</t>
  </si>
  <si>
    <t>SUBSISTEMA DE FORMACIÓN</t>
  </si>
  <si>
    <t>SUBSISTEMA DE PROYECCIÓN SOCIAL</t>
  </si>
  <si>
    <t>SUBSISTEMA DE BIENESTAR UNIVERSITARIO</t>
  </si>
  <si>
    <t>SUBSISTEMA ADMINISTRATIVO</t>
  </si>
  <si>
    <t>PY.7 Prestación de Servicios de Salud.</t>
  </si>
  <si>
    <t>UNIDAD DE MEDIDA</t>
  </si>
  <si>
    <t>Beneficiarios</t>
  </si>
  <si>
    <t>Actividades</t>
  </si>
  <si>
    <t>Meriendas</t>
  </si>
  <si>
    <t>Recursos Invertidos</t>
  </si>
  <si>
    <t>Suministro</t>
  </si>
  <si>
    <t>Recurso Invertido Capacitaciones</t>
  </si>
  <si>
    <t>TRIMESTRE</t>
  </si>
  <si>
    <t>SALDO</t>
  </si>
  <si>
    <t>SUBSISTEMA</t>
  </si>
  <si>
    <t>TOTALES</t>
  </si>
  <si>
    <t>SI-PY1.8</t>
  </si>
  <si>
    <t>ADiagnóstico de 9 laboratorios y acreditación y/o habilitación de 2 laboratorios especializados para investigación.</t>
  </si>
  <si>
    <t>Fortalecimiento  de las capacidades investigativas de grupos de investigación en modalidad Proyectos.</t>
  </si>
  <si>
    <t>Vinculación de jónvenes investigadores en modalidad de médicos rurales.</t>
  </si>
  <si>
    <t>SI-PY9.4</t>
  </si>
  <si>
    <t>SI-PY9.5</t>
  </si>
  <si>
    <t>SI-PY9.6</t>
  </si>
  <si>
    <t>Evaluación de artículos, corrección de estilo, diseño, diagramación, impresión y publicación de revistas institucionales</t>
  </si>
  <si>
    <t>Número de Artículos evaluados para ser publicados en la revistas de la USCO y revistas externas</t>
  </si>
  <si>
    <t>Capacitación a editores de revistas científicas; taller de escritura de artículos científicos</t>
  </si>
  <si>
    <t>Talleres</t>
  </si>
  <si>
    <t>Evaluación, corrección estilo, diagramación y publicación de libros en diferentes modalidades</t>
  </si>
  <si>
    <t>Libros editados y publicados en la editorial Surcolombiana</t>
  </si>
  <si>
    <t>Fortalecimiento de las capacidades investigativas de grupos de investigacion en modalidad proyectos</t>
  </si>
  <si>
    <t>Diagnóstico de 9 laboratorios y acreditación y/o habilitación de 2 laboratorios especializados para investigación</t>
  </si>
  <si>
    <t>Financiar la vinculación de jóvenes investigadores</t>
  </si>
  <si>
    <t>Vinculación de jóvenes investigadores en modalidad de médicos rurales</t>
  </si>
  <si>
    <t>Eventos</t>
  </si>
  <si>
    <t>Talleres de Formación</t>
  </si>
  <si>
    <t>Grupos Artisticos</t>
  </si>
  <si>
    <t>PERSONAS</t>
  </si>
  <si>
    <t>JORNADAS</t>
  </si>
  <si>
    <t>DOCUMENTO</t>
  </si>
  <si>
    <t>PROGRAMAS</t>
  </si>
  <si>
    <t>SIN META NI UNIDAD</t>
  </si>
  <si>
    <t>DOCENTES</t>
  </si>
  <si>
    <t>FACULTADES</t>
  </si>
  <si>
    <t>PROYECTO</t>
  </si>
  <si>
    <t>ESTUDIANTES</t>
  </si>
  <si>
    <t>POLITICA</t>
  </si>
  <si>
    <t>EVALUACIÓN</t>
  </si>
  <si>
    <t>EVENTOS</t>
  </si>
  <si>
    <t>ESTUDIO</t>
  </si>
  <si>
    <t>PORCENTAJE</t>
  </si>
  <si>
    <t>CONVOCATORIA</t>
  </si>
  <si>
    <t>Dotación y mantenimiento de equipos especializados para investigación con el fin de avanzar en la acreditación.</t>
  </si>
  <si>
    <t>Compra y/o renovación de licencias software especializado para investigación</t>
  </si>
  <si>
    <t>Apoyo para realización de tesis, pasantías y/o estancias internacionales para investigación</t>
  </si>
  <si>
    <t>Actualización de las bases de datos con indicadores de acreditación institucional</t>
  </si>
  <si>
    <t>Proyectos ejecutados</t>
  </si>
  <si>
    <t>Proyecto de investigación Permanencia y Graduación del profesor Nelson López (grupo PACA)</t>
  </si>
  <si>
    <t>Procesos de patentabilidad</t>
  </si>
  <si>
    <t>Estudio para la acreditación y/o habilitación de laboratorios especializados para investigación</t>
  </si>
  <si>
    <t>Talleres dictados</t>
  </si>
  <si>
    <t>Proyectos de Programa Ondas – Informe final</t>
  </si>
  <si>
    <t>Eventos Académicos</t>
  </si>
  <si>
    <t>Capacitaciones/Eventos</t>
  </si>
  <si>
    <t>Financiación Programas de Doctorado</t>
  </si>
  <si>
    <t>Documento de la política</t>
  </si>
  <si>
    <t>Grupos de investigación e investigadores Categorizados</t>
  </si>
  <si>
    <t>Apoyo al desarrollo de proyectos de investigación en la modalidad de trabajos de grado</t>
  </si>
  <si>
    <t>Apoyo a proyectos de semilleros de investigación</t>
  </si>
  <si>
    <t>Financiar la Vinculación de jóvenes investigadores adscritos a grupos de investigación</t>
  </si>
  <si>
    <t>Personas dos médicos rurales</t>
  </si>
  <si>
    <t>Financiación de ejecución de proyectos de investigación</t>
  </si>
  <si>
    <t>Cofinanciación de Convenios</t>
  </si>
  <si>
    <t>Proyectos elaborados y gestionados</t>
  </si>
  <si>
    <t>Procedimientos actualizados acorde a las nuevas dinámicas de las Vicerrectoría de Investigación y Proyección Social</t>
  </si>
  <si>
    <t>Aplicativo SIVIPS</t>
  </si>
  <si>
    <t>Bases de datos del Centro de Información y Documentación</t>
  </si>
  <si>
    <t>Fortalecimiento y Creación de Centros de Investigación</t>
  </si>
  <si>
    <t>Proyectos elaborados y desarrollados con el CDT Minerhuila</t>
  </si>
  <si>
    <t>Diseño del Plan Estratégico de CTI+D</t>
  </si>
  <si>
    <t>Proceso de indexación de revistas institucionales</t>
  </si>
  <si>
    <t>Libros editados y enviados a pares para ser corregidos y posteriormente publicados</t>
  </si>
  <si>
    <t>Reforma al Estatuto de Propiedad Intelectual de la USCO</t>
  </si>
  <si>
    <t>PROYECTOS</t>
  </si>
  <si>
    <t>CONVENIOS</t>
  </si>
  <si>
    <t>ACTIVIDADES</t>
  </si>
  <si>
    <t>Normativa Institucional</t>
  </si>
  <si>
    <t>M2</t>
  </si>
  <si>
    <t>EFICIENCIA ACUMULADA $</t>
  </si>
  <si>
    <t>EFECTIVIDAD ACUMULADA</t>
  </si>
  <si>
    <t>PROYECTO POR SUB SISTEMA</t>
  </si>
  <si>
    <t xml:space="preserve">• Evento de Bienvenida a docentes nuevos por concurso de méritos 
• Reinducción intersemestral para docentes de planta y ocasionales 
• Gestión de vinculación a practicantes
• Taller Soy Surcolombiano – Sede Neiva 
• Logística para el desarrollo de taller Soy Surcolombiano Sedes. 
</t>
  </si>
  <si>
    <t xml:space="preserve">• Logística PATI con docentes en consejos de Facultad 
• Revisión del proyecto de Practica Profesional Sunny Cardoso
• Logística reinducción a estudiantes SEDES 
• Apoyo a diagramación y montaje del Boletín Viceacadémica 
</t>
  </si>
  <si>
    <t>• Plan de Acción de las estrategias que se van a desarrollar para el año 2018.</t>
  </si>
  <si>
    <t>SP-PY1.5</t>
  </si>
  <si>
    <t>• Apoyo económico con el fin de coordinar la visita de pares académicos para otorgar registro calificado programas nuevos</t>
  </si>
  <si>
    <t>Accion creada en el plan de acción 2018. No tiene Recurso ni Meta.</t>
  </si>
  <si>
    <t xml:space="preserve">• Inscripciones durante el semestre 2018-1
• Inscripciones portafolio de servicios Académicos de la Escuela de Formación Pedagógica
• Elaboración del plan de trabajo Escuela de Formación Pedagógica 2018
• Capacitación Intersemestral 
• Conferencia Otra mirada a la docencia universitaria 
• Inauguración EFP
• Seminario-Taller: Sensibilización artística para la enseñanza y formación universitaria
• Tertulia pedagógica
• Seminario-Taller: Pistas para pensar la práctica universitaria
</t>
  </si>
  <si>
    <t xml:space="preserve">• EXCD. FAC. SALUD - PASAJES TERRESTRES Y MANUTENCION A TRES DOCENTES QUE ASISTIRAN A PASANTIAS A LA CIUDAD DE BOGOTA
• VIATICOS, INSCRIPCION Y PASAJES TERRESTRES CON EL FIN DE ASISTIR AL VII CONGRESO INTERNACIONAL DE MATEMATICA
• VIATICOS, INSCRIPCION Y PASAJES TERRESTRES CON EL FIN DE ASISTIR AL VII CONGRESO INTERNACIONAL DE MATEMATICA
• VIATICOS, INSCRIPCION Y PASAJES TERRESTRES CON EL FIN DE ASISTIR AL VII CONGRESO INTERNACIONAL DE MATEMATICA
• VIATICOS, INSCRIPCION Y PASAJES TERRESTRES CON EL FIN DE ASISTIR AL SEMINARIO FLUJO DE CAJA Y PROYECCIONES
• VIATICOS Y TRANSPORTE TERRESTRE CON EL FIN DE PARTICIPAR EN EL EVENTO COLOMBIA CHEQUEA 2018 A REALIZARSE EN BOGOTA
• VIATICOS CON EL FIN DE ASISTIR AL CURSO METOLOGIA DE LA INVESTIGACION A REALIZARSE EN GUAYAQUIL ECUADOR
• PAGO DE MATRICULA PARA LA REALIZACION DE DIPLOMADO EN METODOS ESTADISTICOS PARA EL ANALISIS DE DATOS APOYADO EN EXCEL
• UNIVERSIDAD SURCOLOMBIANA - PAGO MATRICULA DIPLOMADO PARA MARCO TULIO ARTUNDUAGA
• APOYO ECONOMICO PARA INSCRIPCION Y PASAJE AEREO CON EL FIN DE PARTICIPAR EN EL SEGUNDO CONGRESO DE ARBITRAJE
• APOYO ECONOMICO PARA PASAJE AEREO CON EL FIN DE ASISTIR COMO PONENTE AL II CONGRESO INTERNACIONAL
• APOYO ECONOMICO PARA MANUTENCION CON EL FIN DE ASISTIR A LA EDICION 58 DEL FESTIVAL INTERNACIONAL DE CINE
• VIATICOS CON EL FIN DE ASISTIR COMO PONENTE AL II CONGRESO INTERNACIONAL DIALOGO INTERNACIONAL DIALOGO INTERLOCUTOR
• INSCRIPCION PARA ASISTIR AL CURSO INTERNACIONAL EN POLITICAS PARA LA IGUALDAD EN AMERICA LATINA
• APOYO ECONOMICO PARA MANUTENCION CON EL FIN DE ASISTIR A LAS ACTIVIDADES CIENTIFICAS DEL PROYECTO INN FROM
• APOYO ECONOMICO PARA MANUTENCION CON EL FIN DE ASISTIR A LAS ACTIVIDADES CIENTIFICAS DEL PROYECTO INN FROM
• APOYO ECONOMICO PARA MANUTENCION, INSCRIPCION Y PASAJES TERRESTRES CON EL FIN DE PARTICIPAR DE CURSO
• INSCRIPCION A DOCENTE FRANCISCO JOSE MUÑOZ PARA ASISTIR AL IV CONGRESO EN CIENCIA Y TECNOLOGIA IICTA 2018 A REALIZARSE EN CALI.
• FRANCISCO JOSE MUÑOZ - APOYO PAGO DE INSCRIPCION CONGRESO INTERNACIONAL DE INVESTIGACION
• VIATICOS INSCRIPCION Y PASAJES TERRESTRES CON EL FIN DE ASISTIR A LA VII CUMBRE IBEROAMERICANA DE MEDICINA
• VIATICOS CON EL FIN DE ASISTIR COMO PONENTE CON EL TRABAJO TITULADO UNDERSTANDIN
• ADICION AL CONTRATO DE TIQUETES AEREOS PARA DOCENTES DE PLANTA Y COSAIONALES. ORGANIZACIÓN TURISTICA DEL HUILA – TURISHUILA
• APOYO ECONOMICO PARA GASTOS DE MANUTENCION Y TRASNPORTE TERRESTRE A JOSE DOMINGO ALARCON PARA ASISTIR A CUMBRE DE MEDICINA FAMILIAR - PEDRO GIL BONILLA
• PAGO DE INSCRIPCION PARA ASISTIR AL II CONGRESO DE ARBITRAJE NACIONAL E INTERNACIONAL A DOCENTE PEDRO GIL BONILLA
• PAGO DE INSCRIPCION PARA PARTICIPAR EN EL PROGRAMA DE INGLES EN EL INSTITUTO KOE, QUE REALIZARA EL DOCENTE ALFREDIS GONZALES
• APOYO ECONOMICO PARA MANUTENCION CON EL FIN DE PARTICIPAR EN EL II CONGRESO DE ARBITRAJE INTERNACIONAL
• APOYO ECONOMICO PARA MANUTENCION CON EL FIN DE ASISTIR AL II CONGRESO DE ARBITRAJE NACIONAL E INTERNACIONAL
• APOYO ECONOMICO PARA MANUTENCION CON EL FIN DE PARTICIPAR COMO PONENTE EN LA XXI JORNADA NACIONAL DE EDUCACION
• APOYO ECONOMICO PARA MANUTENCION CON EL FIN DE PARTICIPAR COMO PONENTE EN LA XXI JORNADA NACIONAL DE EDUCACION
• APOYO ECONOMICO PARA MANUTENCION CON EL OBJETO DE PARTICIPAR EN EL 6TH CONGRESO DE LA RED DE INVESTIGACION
• APOYO ECONOMICO PARA MANUTENCION CON EL OBJETO DE PARTICIPAR EN EL 6TH CONGRESO DE LA RED DE INVESTIGACION
• APOYO ECONOMICO PARA MANUTENCION CON EL OBJETO DE PARTICIPAR EN EL 6TH CONGRESO CUBA SALUD 2018
• APOYO ECONOMICO VIATICOS PARA ASISTIR A CONGRESO INTERNACIONAL EN CUBA SEGÚN MEMORANDO - FRANCY HOLMINS SALAS
• APOYO ECONOMICO PARA GASTOS DE MANUTENCION CON EL FIN DE OBJETO DE ASISTIR AL CURSO DE ESTUDIOS VISUALES
</t>
  </si>
  <si>
    <t xml:space="preserve">• Convocatoria e inscripción Interlingua para docente
• Desarrollo de los cursos de ingles 
• Clausura
</t>
  </si>
  <si>
    <t>• Recolección de información y 6 universidades externas y de experiencias alternativas de evaluación docente de las distintas facultades de la Universidad Surcolombiana</t>
  </si>
  <si>
    <t xml:space="preserve">• Reunión con el jefe de la Oficina de Aseguramiento de Calidad con el fin socializar las actividades propias del aseguramiento de la calidad y darle a conocer algunas propuestas de trabajo para desarrollar durante la vigencia del contrato. 
• Reunión con el equipo de trabajo de la Oficina de Aseguramiento de Calidad con el fin de recibir orientaciones por parte del jefe de oficina para el desarrollo de las tareas y funciones propias de cada contratista. 
• Actualización de Matriz de Insumos Numéricos y Documentales por aspectos en correspondencia con los Lineamientos para la Acreditación de Programas de Pregrado del CNA 2013. Trabajo conjunto con Leidy.  
• Orientaciones al equipo de trabajo encargado de la construcción de las otras Matrices de insumos Numéricos y Documentales para Registro Calificado y Lineamientos de Especialidades Médicas y entrega de documentos de apoyo. 
• Lectura y ajustes al documento sobre procedimientos de registro calificado programas pregrado y posgrado. Específicamente se hizo comentarios en lo concerniente al procedimiento sobre la creación de nuevos programas académicos y la renovación de registro calificado. Este trabajo quedo pendiente para socializar en la reunión de equipo. 
• Asesoría a los profesores Germán Darío Hembuz y Carlos Salamanca del programa de Administración de Empresas. Tema: Construcción del informe de autoevaluación con fines de renovación de acreditación. Este mismo día se envió como documentos de apoyo la Guía del CNA y la Matriz de Insumos para Acreditación. 18 de enero y el 30 de enero envío los cuadros maestros de la plataforma SACES para su previo diligenciamiento.
• Formulación de preguntas para instrumento de percepción con graduados en el contexto de procesos de acreditación y entrega de las mismas al programa de administración de empresas. 
• Elaboración propuesta de cuadro Plan de Mejoramiento con los aspectos solicitados por SACES con el fin de unificar criterios para compartir con Programas. Dicha propuesta fue compartida con Leidy para su cualificación, en especial para determinar peso y procedimiento para ponderación (Correo enviado 19 de enero). 
• Reunión con el equipo de trabajo de la Oficina de Aseguramiento de Calidad y la Dirección General de Currículo con el fin de hacer el empalme de los procesos de registro calificado y acreditación. En esta reunión se precisó algunas tareas propias de cada oficina en consideración a la Resolución 159 de 2015.  
• Elaboración del Informe de Radicación para  Programas Académicos de Pregrado y Posgrado con fines de Renovación de  Registro Calificado (por Ciclos del MEN) y Acreditación. Año 2018. 25 y 26 de Enero. Ajustes y completitud del mismo posterior a la reunión de autocontrol. 
• Participación en la reunión de la Oficina CTIC con Oficina Aseguramiento para socializar la información, variables y módulos solicitadas por el Ministerio para el Sistema Nacional de Información de la Educación Superior - SNIES. 
• Lectura al Documento Maestro del Programa de Economía. Se inició la revisión del documento. 
• Reunión con el Programa de Ciencias Políticas con el fin de socializar el estado del proceso de autoevaluación con fines de renovación de registro calificado y orientaciones respecto a los Ciclos del MEN, términos de entrega de los documentos y procedimiento del proceso. 
• Participación en la reunión de Autocontrol con la Vicerrectoría Académica para la planeación y seguimiento del PY4.1. En esta reunión se presentó el informe preliminar del trabajo prioritario con los programas académicos y el plan de trabajo de la oficina de aseguramiento de la calidad. 
• Reunión con el Programa de Psicología con el fin de socializar el estado del proceso de autoevaluación con fines de renovación de registro calificado y del proceso en trámite para la renovación de acreditación y orientaciones respecto a los Ciclos del MEN, términos de entrega de los documentos y procedimiento de los procesos. Como compromiso de la reunión ese mismo día se envía documentos de apoyo tales como los cuadros de la plataforma SACES para el proceso de radicación del Documento Maestro de Registro Calificado y cuadros maestros que solicita la Guía del MEN. 
• Reunión con el equipo de trabajo de la Oficina de Aseguramiento de Calidad y las Oficinas de Seguridad en el Trabajo, Sistema de Gestión de Calidad y Sistema de Gestión Ambiental con el fin de socializar los planes de trabajo.
• Reunión con el Programa de Maestría en Educación y Cultura para la Paz con el fin de socializar el estado del proceso de autoevaluación con fines de renovación de registro calificado, orientaciones respecto a los Ciclos del MEN, términos de entrega de los documentos y procedimiento del proceso.
• Participación en reunión con la jefe de dependencia del CTIC con el fin de continuar con la socialización de los módulos e información solicitada por el MEN para el Sistema Nacional de Información de la Educación Superior - SNIES. 
• Orientación Programa de Derecho con participación del Jefe de Aseguramiento y Jefe de Programa respecto al proceso de Renovación de Registro Calificado para proceder “de oficio”, conforme a la norma en el Artículo 2.5.3.2.3.3 del Decreto 1075 de 2015 – Único Reglamentario del Sector Educación y a la Circular del MEN sobre Ciclos de Radicación.
• Participación de Reunión equipo de trabajo del Aseguramiento de la Calidad. Tema: Elaboración del Plan de Trabajo de la OAC. 
• Reunión Comité de Facultad de Economía y Administración con Jefe de Aseguramiento, Profesional de apoyo registros calificados y asesora de la oficina. Tema: Precisar compromisos respecto a los procesos de autoevaluación desarrollados por los Programas de Pregrado Administración de Empresas (con fines de renovación de acreditación), Contaduría Pública, Economía y Especialización en Alta Gerencia (con fines de renovación de registro calificado). Se orientó entrega de documentos con relación a los Ciclos y vigencia de registros y acreditación. La Oficina de Aseguramiento se compromete a realizar la revisión de los documentos en sus debidas vigencias y a suministrar información institucional requerida. 
• Socialización vía e – mail del Informe de Radicación para Programas Académicos de Pregrado y Posgrado con fines de Renovación de Registro Calificado (por Ciclos del MEN) y Acreditación al Jefe de Aseguramiento y a la Vicerrectora Académica. Año 2018. 
• Preparación Asesoría de Maestría en Derecho Público: Selección y apropiación del de capítulo de condiciones iniciales de los Lineamientos de Maestrías y Doctorados 2010 – CNA para orientar sobre requisitos fundamentales que debe cumplir un programa de este nivel para la Acreditación de Alta Calidad.
• Reunión con docentes Maestría Derecho Público y jefe de Oficina Aseguramiento de la Calidad con el fin de orientar el proceso de autoevaluación con fines de renovación de registro calificado y Lineamientos de Maestrías y Doctorados 2010 – CNA.
• Reunión con docentes Maestría Derecho Público y jefe de Oficina Aseguramiento de la Calidad con el fin de orientar el proceso de autoevaluación con fines de renovación de registro calificado y Lineamientos de Maestrías y Doctorados 2010 – CNA
• Preparación de Asesoría sobre Resolución 18583 de 2017, «Por la cual se ajustan las características específicas de calidad de los programas de Licenciatura para la obtención, renovación o modificación del registro calificado, y se deroga la Resolución 2041 de 2016». 
• Reunión con docentes del Licenciatura en Lengua Castellana y equipo de trabajo oficina aseguramiento de la calidad. Temas: Aplicación Resolución 18583 de 2017 y Decreto 2450 de 2015 para reforma curricular, actualización PEP y documento Maestro.
• Lectura y comentarios al Documentos Maestro del Programa de Economía. 
• Socialización al Jefe de Programa de Economía de las recomendaciones y comentarios al Documento Maestro del Programa. Posterior a la reunión de socialización de la revisión, el documento fue enviado con los 42 comentarios.  
• Reunión de trabajo del Comité de Acreditación Institucional. Tema: Propuesta plan de trabajo Semestre 2018 - A y socialización del plan de mejoramiento y sus subsistemas (Institucional). 
• Reunión con la profesora Catalina, coordinadora Maestría en Inclusión para ofrecer orientación del inicio del Primer Proceso de Autoevaluación con fines de Renovación de Registro Calificado. 
• Revisión del Auto de Comunicación del MEN de requerimiento de información para adoptar la decisión respecto a la solicitud de Renovación de Registro Calificado del Programa de Licenciatura de Matemáticas. 
• Reunión con la Licenciatura de Matemáticas para orientar sobre el auto de comunicación de requerimiento de información para adoptar la decisión respecto a la solicitud de Renovación de Registro Calificado del Programa, en torno a 4 aspectos: 1. Productos de investigación, 2. Artículos revistas especializadas o indexadas, 3. Prácticas Pedagógicas y Profesionales y 4. Copia del primer informe de autoevaluación. Compromisos: Oscar Cortés, apoya en los tres primeros puntos y Rocio con Guía del Informe para apoyar el 4 punto sobre la completitud del informe de autoevaluación.
• Elaboración conjunta con la profesional de apoyo Sofía Fajardo sobre Tiempos para Revisión de los documentos e Informes para Acreditación y Registro Calificado. Semestre A - 2018. 
• Reunión proyecto de impacto de egresados con la participación del Jefe de Oficina de Graduados, Director de Currículo, Docente FEA y equipo aseguramiento de la calidad. 
• Preparación de Asesoría sobre Resolución 01456 de 2017. Por medio de la cual se renueva la acreditación de alta calidad al Programa de Licenciatura en Lengua Castellana y la Resolución 17978 de 2017. Por medio de la cual se resuelve la solicitud de modificación de la denominación presentada por la USCO para el programa de Licenciatura en Lengua Castellano por Licenciatura en Literatura y Lengua Castellana. 
• Participación de Reunión equipo de trabajo del Aseguramiento de la Calidad Tema: Identificación de los programas prioritarios para radicación de registro calificado y acreditación y asignación de tareas vigencia 2018 A y B y 2019.
• Elaboración consulta al MEN respecto al tema de la renovación de registro mediante “oficio” con fundamento en el Artículo 2.5.3.2.3.3 del Decreto 1075 para un programa acreditado y la aplicación Circular 056 del 26 de diciembre de 2017 14 de febrero. De la cual se obtuvo una primera respuesta mediante Comunicación Externa General Vía Mail-2018- ER- O38920 el 26 de febrero y posteriormente, se emite la Circular 07 del 2018 del MEN.   
• Preparación de Visita de Pares del programa de Sicología definida para los días 2, 3 y 4 de mayo. 
• Reunión oficina Talento Humano con CTIC y OAC. 
• Preparación de Asesoría para el Programa de Licenciatura en Lengua Castellano por Licenciatura en Literatura y Lengua Castellana sobre Circular 056 del 26 de Diciembre de 2017 del MEN y la respuesta del MEN mediante Comunicación Externa General Vía Mail-2018- ER- O38920 del 26 de Febrero.
• Asesoría profesora Ladys Jimenéz, jefe de programa de Licenciatura en Literatura y Lengua Castellana para orientar sobre la aplicación del artículo 2.5.3.2.3.3. del Decreto 1075 de 2015 sobre renovación de registro de “oficio” para programas acreditados; aplicación de la Circular 056 del 26 de Diciembre de 2017 del MEN, específicamente, el punto 3 literal a – VI, que se establece lo siguiente: “En los trámites de programas acreditados o de Institución de Educación Superior acreditadas que se requiera el documento maestro, se podrá adjuntar el documento de autoevaluación con fines de acreditación presentado al CNA, o en su defecto, el documento que contenga la descripción de las condiciones de calidad”, así mismo, lo relacionado a la reforma curricular y la respuesta del MEN mediante Comunicación Externa General Vía Mail-2018- ER- O38920 del 26 de Febrero. 
• Asesoría al Programa de Administración de Empresas sobre informe de autoevaluación con fines de renovación de la acreditación. 
• Participación al Comité de Autoevaluación del Programa de Licenciatura en Inglés con el fin atender solicitudes en el desarrollo del proceso de autoevaluación con fines de renovación de acreditación. 
• Revisión Inicial para actualizar el Documento de Condiciones de Calidad como documento de apoyo para los procesos de registro calificado. 
• Reunión de trabajo del Comité de Acreditación Institucional, socialización del Acuerdos 003 de 2017, por medio del cual se modifica el Acuerdo 003 de 2014, por el cual se aprueban Los lineamientos para la Acreditación Institucional. (Institucional). 
• Revisión y correcciones a la presentación sobre plan de trabajo de la Oficina de Aseguramiento de la Calidad y tareas prioritarias de acuerdo a las necesidades de procesos de autoevaluación, vigencias y radicaciones de registros calificados y acreditación para socializar a la Facultad de Educación. Esta revisión fue enviada a Leidy y al Profesor Carlos. 
• Asesoría al Comité de Autoevaluación Programa de Ingeniería Civil - proceso de autoevaluación con fines de renovación de registro calificado. Tema: Términos y actividades concernientes al proceso, metodología de talleres y puesta en marcha del primer ejercicio de autoevaluación. 
• Reunión Decana Facultad de Educación. Tema: Socialización de Plan de Trabajo del aseguramiento de la calidad para Facultad de Educación. 
• Continuación de actualización “Documento de Condiciones de Calidad como documento de apoyo para los procesos de registro calificado”. En esta actualización participó el equipo de profesionales. 
• Participación de Reunión equipo de trabajo de la Oficina de Aseguramiento de la Calidad Tema: Socialización informe de tiempos de radicación, tareas con programas, programación reuniones y se definió realizar una propuesta de instrumento en trabajo conjunto con Leidy. 
• Participación Reunión Sistemas de Gestión de Calidad. Tema: Modelo Integrado de la Planeación de la Gestión (MIPG). 
• Participación de Reunión Dr. Carlos Jurídico. Temas: 1. Interpretación Acuerdo 03 de 2017. Por el cual se modifica el Acuerdo 03 de 2014 “por el cual se aprueban los Lineamientos para la Acreditación Institucional”, especialmente respecto a la  modalidad de acreditación y Orientación sobre Circular 07 de 2018. Lineamientos sobre los procesos de Renovación de Registro Calificado de Programas Acreditados de Alta Calidad”. 
• Participación de Reunión equipo de trabajo de la Oficina de Aseguramiento de la Calidad Tema: Socialización propuesta de instrumentos de percepción. Se socializó un instrumento dirigido a Administrativos y otro a Directivos. Lineamientos Acreditación de Programas de Pregrado. Se acordó solicitar asesoría al profesor del Programa de Sicología. William Sierra. Experto en el tema. 
• Preparación Taller Ingeniería Agrícola: Factor 2. Estudiantes y Factor 3. Docentes. 
1. Diseño del Taller (Selección preguntas, insumos e información específica del Programa).
2. Envío solicitud de Insumos
3. Estudio de Documentos Programa Ingeniería Agrícola 
4. Elaborar Presentación del Taller 
• Orientación Taller Ingeniería Agrícola. Factor 2. Estudiantes y Factor 3. Docentes. 
• Preparación asesoría programa de Licenciatura de Matemáticas respecto al Auto de Comunicación del MEN de requerimiento de información para adoptar la decisión respecto a la solicitud de Renovación de Registro Calificado. Específicamente lo relacionado con el cuarto (4) punto sobre el Primer Informe de Autoevaluación del año 2014. Se hizo revisión de los documentos de apoyo para orientar la completitud de este informe. Se identificaron tres documentos: 1. Información actualizada 2012 (anexo 3), 2. Informe noviembre 2012 (acompañamiento MEN profesor Arnoldo Barrera), 3. Informe Actividades Autoevaluación 2014). 
• Reunión programa de Licenciatura de Matemáticas sobre Auto de Comunicación del MEN de requerimiento de información para adoptar la decisión respecto a la solicitud de Renovación de Registro Calificado. Compromiso: Elaborar Documento Guía sobre Estructura de Informe proceso de autoevaluación con fines de registro calificado. 
• Reunión Dr. Oscar, coordinador oficina de graduados con el fin de evaluar articulación del instrumento que se aplica en la oficina para hacer el seguimiento a los graduados con los Lineamientos del CNA. 
• Reunión de trabajo del Comité de Acreditación Institucional. Tema: Socialización de los proyectos del Plan de Mejoramiento Institucional.
• Elaboración Documento Guía sobre Estructura de Informe proceso de autoevaluación con fines de registro calificado. 
• Socialización Documento Guía sobre Estructura de Informe proceso de autoevaluación con fines de registro calificado. 
• Participación a la rendición de cuentas de la Vicerrectoría Académica. 
• Preparación asesoría Licenciatura en inglés sobre procedimientos que deben radicar al MEN: 1. Modificación denominación, renovación registro y acreditación y reforma curricular. 
• Asesoría Licenciatura en inglés. Asistencia a Comité de Autoevaluación. Tema: Procedimientos, términos y requerimientos para renovación de registro calificado y renovación acreditación. 
• Preparación de Visita de Pares 2 y 3 de mayo con fines de Renovación de la Acreditación. Programa de Psicología. 
• Revisión inicial del Informe de Autoevaluación con fines de Renovación de la Acreditación – Neiva – 2018. Programa Administración de Empresas. </t>
  </si>
  <si>
    <t xml:space="preserve">• Durante el mes de enero, para el desarrollo del programa de Aprestamiento en Habilidades de Comprensión de Lectura y Matemáticas, las actividades realizadas estuvieron enfocadas a la preparación para el recibimiento de los estudiantes que ingresaron al primer semestre, el 22 de enero.
• Posteriormente, en los meses de febrero y marzo se desarrollaron todas las actividades de seguimiento, a la etapa de acompañamiento semanal que se realiza durante las 16 semanas que dura el semestre académico. De igual manera se desarrolló la sistematización de la semana intensiva de formación. 
• Durante el transcurso de la primera semana de enero se terminó la selección de los 22 estudiantes monitores de las Licenciaturas en Literatura y Lengua Castellana y Matemáticas. De igual manera se terminó el proceso de impresión de módulos en la litografía y su respectiva entrega a la universidad. 
• Del día 9 al 17 de enero, se realizó la formación de los estudiantes monitores tanto en Comprensión de Lectura como en Razonamiento Matemático. En este transcurso también se hizo la convocatoria para que 1006 estudiantes inscritos en la universidad para el primer y segundo llamado asistieran a Semestre Cero.
• En igual medida, durante la segunda y tercera semana se organizó todas las actividades logísticas para el inicio de los talleres el 22 de enero, tales como, organización de salones, distribución de programas con su respectivo monitor, organización de horarios, permisos de ingreso a la universidad y la preparación de la bienvenida a los estudiantes de primer semestre cero.
• En la tercera semana, se recibieron un aproximado de 1006 jóvenes en el programa de aprestamiento en habilidades en comprensión de lectura y Matemática, ellos participaron en una conferencia de bienvenida e iniciaron el proceso de nivelación en estas habilidades, que se desarrolla durante la semana del 22 y 31 de enero.
• Durante el transcurso de los días del 22 al 31 de enero se desarrollaron los talleres de formación a los estudiantes que ingresaron a primer semestre a la Universidad Surcolombiana.
• En el transcurso de 29 al 31 de enero se realizó una encuesta para evaluar el programa de aprestamiento en habilidades en Comprensión de lectura  y matemáticas, se le aplico a una muestra de 15 estudiantes por programa académico.
• Durante las primeras semanas de febrero se recolecto y sistematizo toda la información generada de la semana y media de formación, tales como asistencias en digital y físico.
• En la segunda, tercera y cuarta semana de febrero se organizó la propuesta metodológica de monitorias académicas para el acompañamiento de los estudiantes de primer semestre. De igual manera se empezaron a desarrollar las asesorías pedagógicas a estudiantes monitores que se realizan durante el semestre académico.
• las primeras semanas de marzo se termina de organizar las asesorías académicas de los estudiantes de primer semestre. También se termina la sistematización de la encuesta realizada durante el tiempo de formación.
• En el trascurso de estas semanas también se realizó reunión grupal de evaluación del proceso con los monitores que hacen parte del proyecto.
• Durante la tercer y cuarta semana del mes de marzo se realiza la propuesta metodología de aplicación del programa semestre cero en las sedes, Pitalito Garzón y la Plata.
</t>
  </si>
  <si>
    <t xml:space="preserve">• Durante el mes de enero, para el desarrollo del programa de Aprestamiento en Habilidades de Comprensión de Lectura y Matemáticas, las actividades realizadas estuvieron enfocadas a la preparación para el recibimiento de los estudiantes que ingresaron al primer semestre, el 22 de enero.
• Posteriormente, en los meses de febrero y marzo se desarrollaron todas las actividades de seguimiento, a la etapa de acompañamiento semanal que se realiza durante las 16 semanas que dura el semestre académico. De igual manera se desarrolló la sistematización de la semana intensiva de formación. 
• Durante el transcurso de la primera semana de enero se terminó la selección de los 22 estudiantes monitores de las Licenciaturas en Literatura y Lengua Castellana y Matemáticas. De igual manera se terminó el proceso de impresión de módulos en la litografía y su respectiva entrega a la universidad. 
• Del día 9 al 17 de enero, se realizó la formación de los estudiantes monitores tanto en Comprensión de Lectura como en Razonamiento Matemático. En este transcurso también se hizo la convocatoria para que 1006 estudiantes inscritos en la universidad para el primer y segundo llamado asistieran a Semestre Cero.
• En igual medida, durante la segunda y tercera semana se organizó todas las actividades logísticas para el inicio de los talleres el 22 de enero, tales como, organización de salones, distribución de programas con su respectivo monitor, organización de horarios, permisos de ingreso a la universidad y la preparación de la bienvenida a los estudiantes de primer semestre cero.
• En la tercera semana, se recibieron un aproximado de 1006 jóvenes en el programa de aprestamiento en habilidades en comprensión de lectura y Matemática, ellos participaron en una conferencia de bienvenida e iniciaron el proceso de nivelación en estas habilidades, que se desarrolla durante la semana del 22 y 31 de enero.
• Durante el transcurso de los días del 22 al 31 de enero se desarrollaron los talleres de formación a los estudiantes que ingresaron a primer semestre a la Universidad Surcolombiana.
• En el transcurso de 29 al 31 de enero se realizó una encuesta para evaluar el programa de aprestamiento en habilidades en Comprensión de lectura y matemáticas, se le aplico a una muestra de 15 estudiantes por programa académico.
• Durante las primeras semanas de febrero se recolecto y sistematizo toda la información generada de la semana y media de formación, tales como asistencias en digital y físico.
• En la segunda, tercera y cuarta semana de febrero se organizó la propuesta metodológica de monitorias académicas para el acompañamiento de los estudiantes de primer semestre. De igual manera se empezaron a desarrollar las asesorías pedagógicas a estudiantes monitores que se realizan durante el semestre académico.
• las primeras semanas de marzo se termina de organizar las asesorías académicas de los estudiantes de primer semestre. También se termina la sistematización de la encuesta realizada durante el tiempo de formación.
• En el trascurso de estas semanas también se realizó reunión grupal de evaluación del proceso con los monitores que hacen parte del proyecto.
• Durante la tercer y cuarta semana del mes de marzo se realiza la propuesta metodología de aplicación del programa semestre cero en las sedes, Pitalito Garzón y la Plata.
</t>
  </si>
  <si>
    <t xml:space="preserve">• Consejerías académicas - plan de fomento a la calidad fase i permanencia y graduación: Sol Angy Cortes Perez - Yenni Alejandra Chacon.
• Desarrollar talleres de consejerías académicas a Estudiantes nuevos.
• Capacitación a docentes consejeros.
• Consejerías Académicas, Acompañando cada sueño.
• Consejerías académicas, un proceso de acompañamiento integral.
</t>
  </si>
  <si>
    <t xml:space="preserve">• Actividades de apoyo a la política de permanencia y graduación estudiantil.
• Adquisición de equipos de cómputo y oficina para apoyo a la política de inclusión, permanencia y graduación.
• Apoyo económico para sufragar gastos de transporte terrestre a dos ponentes que participaran en encuentro.
</t>
  </si>
  <si>
    <t xml:space="preserve">• Consolidación de cuadro actualizado con programas académicos acreditados a corte enero 2018. 05 de enero
• Consolidación de cuadro de porcentajes de docentes de planta por nivel en el escalafón a corte 2017-2. 09 de enero
• Enviar propuesta de Recurso de Reposición ante el CNA por motivo de ampliación en tiempos de la vigencia para la Acreditación Institucional al Dr. Zapata y al Dr. Prieto para comentarios y sugerencias. 09 de enero
• Consolidar observaciones del Comité Directivo al documento de reposición ante el CNA. 09 - 19 de enero
• Reunión del equipo aseguramiento de la calidad presentación y planeación de retos a 2018. 11 de enero
• Revisión con Rocío y Juan David de la matriz de aspectos de lineamientos para acreditación de programas académicos con el fin de definir los insumos básicos y necesarios para aportar a los programas. (documentales y numéricos). 12 – 15 – 16 y 17 de enero
• Ajuste de la propuesta recurso de reposición para el CNA y adjunto los anexos correspondientes. Se envía al jefe Carlos Ardila para revisión. 15 de enero
• Reunión en Biblioteca para revisión y proyección de necesidades plan de trabajo 2018. 17 de enero
• Revisión de documentos especialidades médicas (5 documentos) con Juan David para comentarios. 18 de enero
• Reunión equipo de currículo y aseguramiento para orientar plan de trabajo 2018-1. 19 de enero
• Responder solicitud del programa Administración de Empresas sobre número de egresados y graduados por sede durante los últimos 5 años. 19 de enero
• Reunión con biblioteca para socialización lineamientos de programas académicos para ajuste en reportes del KOHA en su nueva versión. 22 de enero
• Participación en reunión de inducción funcionarios biblioteca con tema de aseguramiento de la calidad. 23 de enero   
• Reunión oficina asesora de planeación sobre consolidar el Sistema de Información en 5 fases con la interacción del CTIC. 23 de enero
• Revisión de documentos programa de Economía para renovación de registros calificados. 24 de enero
• Consolidar en la matriz de insumos los lineamientos de postgrados CNA – maestrías y doctorados. 25 de enero
• Reunión con CTIC ingeniera Martha para socialización de forma general las variables del SNIES. 25 de enero
• Revisión del informe de gestión del Rector y envío de observaciones y sugerencias a planeación y rectoría. 25 de enero
• Consolidar en la matriz de insumos las condiciones para renovación de registros calificados. 26 de enero
• Revisión de plan de mejoramiento del programa de Economía. 26 de enero
• Consolidación de información institucional en la Plataforma SACES sobre recursos de apoyo académico con Biblioteca para actualizar. 26 de enero.
• Consolidar la propuesta de formato para plan de mejoramiento tanto para renovación de registros calificados, como para acreditación de programas académicos. 29 de enero
• Reunión autocontrol vicerrectoría académica para revisión y consolidación del plan de trabajo del año 2018. 29 de enero
• Se remite a los programas académicos el formato de plan de mejoramiento para trámite de renovación de registros calificados, obtención y renovación de la acreditación. 30 de enero
• Revisión con Juan David de la información de cuadros maestros para acreditación y registros calificados. 30 de enero
• Remitir el avance de la matriz de revisión insumos de los lineamientos CNA al equipo de aseguramiento. 30 de enero
• Consolidación de la información institucional actualizada para reportar en la plataforma SACES con sus respectivos soportes y anexos, se envía a Andrea Castiblanco quien maneja el usuario institucional para registrarla. 31 de enero
• Reunión con CTIC ingeniera Martha para socialización de forma detallada las variables del SNIES. 31 de enero
• Reunión con Biblioteca para consolidar información para actualizar la Plataforma SACES respecto a fondo documental. 01 de febrero
• Consolidación de información institucional para Plataforma SACES. 01 de febrero
• Diligenciar encuesta SGSST. 01 de febrero
• Reunión con coordinador Centro de Graduados para socialización de insumos documentales y estadísticos en los diferentes procesos de autoevaluación. 02 de febrero
• Reunión sobre plan de trabajo con equipo oficina aseguramiento de la Calidad. 02 febrero
• Comité directivo para tratar plan de mejoramiento institucional y seguimiento. 05 de febrero
• Subir contrato a SIGEP. 07 de febrero
• Analizar documentos para Registros Calificados de pregrado, Maestría y Doctorado. 08 de febrero
• Consolidación documento registro calificado con datos de planta física e informes financieros. 09 de febrero
• Reunión con programa de Educación Infantil para revisar plan de mejoramiento. 09 de febrero
• Participación en reunión de SNIES. 12 de febrero   
• Consolidar oficio solicitando a programas los micro diseños. 12 de febrero
• Reunión con ORNI para socialización de insumos documentales y estadísticos de cada uno de los procesos de autoevaluación. 13 de febrero
• Responder solicitud información institucional realizada por profesor William Guzmán, Faca. Educación. 13 de febrero
• Consolidación para Vicerrectora Académica sobre información IES Acreditadas en Colombia a corte 2017-2. 13 de febrero
• Análisis del Acuerdo 03 de 2014 y Acuerdo 03 de 2017 frente a la acreditación institucional Multicapas con el Comité de Acreditación Institucional. 13 de febrero
• Consolidar informe de actividades mes de enero. 15 de febrero
• Enviar plan de seguimiento a programa de Educación Infantil. 15 de febrero
• Reunión con coordinador centro de Graduados para consolidar información institucional. 16 de febrero
• Reunión equipo de trabajo oficina de aseguramiento de la calidad para organizar y priorizar tareas. 16 de febrero
• Consolidar en la matriz de lineamientos de acreditación institucional, la clasificación de insumos documentales y estadísticos. 19 de febrero
• Consolidar en la matriz de lineamientos de acreditación para las especialidades médicas, la clasificación de insumos documentales y estadísticos. 19 de febrero
• Reunión con Dirección General de Currículo, Registro y Control, CTIC y aseguramiento de la calidad para hacer la verificación de los problemas en los cargues de información al SNIES. 19 de febrero
• Remitir a Biblioteca los micro diseños que han enviado los programas, con el fin de facilitar los procesos de evaluación de las colecciones. 19 de febrero
• Reunión Talento Humano, CTIC y oficina aseguramiento de la Calidad, frente a los procesos de contratación y el sistema de gestión documental. 21 de febrero
• Reunión con el programa de psicología para revisar las acciones del plan de mejora (cámara Gesell, habilitación USAP), dada la confirmación de la visita de pares para acreditación (2-3 y 4 de mayo). 22 de febrero 
• Reunión con la vicerrectoría de investigaciones y proyección social sobre plan de mejoramiento. 22 de febrero
• Consolidar informe machote de Registro Calificado de condiciones institucionales frente a Bienestar. 23 de febrero
• Consolidación de aspectos de percepción por estamento, para lineamientos de acreditación de programas de pregrado, acreditación de programas de postgrado maestrías y doctorados, acreditación de programas de postgrados especialidades médicas y acreditación institucional. 23 de febrero
• Elaboración de diapositivas para socialización con Faca. Educación. 26 de febrero
• Reunión con programa de inglés para socializar los avances en los procesos de autoevaluación y plan de mejoramiento. 26 de febrero
• Comité de acreditación institucional trabajo sobre los retos de la reacreditación para las sedes de Pitalito, garzón y la plata. 28 de febrero
• Consolidación final de informe documento machote Registro Calificado para compartir con equipo de trabajo y ser remitido a los programas. 28 de febrero
• Participación en reunión de inducción y reinducción a personal administrativo por parte de la oficina de talento Humano. 28 de febrero
• Remitir matriz de identificación aspectos de percepción para trabajar en la construcción de los instrumentos respectivos con Rocío. 28 de febrero. </t>
  </si>
  <si>
    <t xml:space="preserve">• Trámites para continuidad de la realización de Judicaturas en la Universidad Surcolombia, que se venían realizando en el 2017. En total cuatro (4) estudiantes, por valor total de $8. 645.745. 
• Recepción de Solicitudes y proyección de respuestas a dependías para el apoyo económico al desarrollo de prácticas, pasantías y judicaturas que se realizan en cada una de ellas dentro de la Universidad Surcolombiana. 
• Apoyo al proceso de Convocatoria para seleccionar estudiantes que aspiren desarrollar judicatura, pasantía como modalidad de grado y práctica profesional, en trece (13) dependencias de la Universidad Surcolombiana. 
• Apoyo a la selección de estudiantes para desarrollar judicatura, pasantía como modalidad de grado y práctica profesional. En total se seleccionaron ocho (8) estudiantes. Por un valor total de $19.921.671. 
• Apoyo en la elaboración de cartas de compromiso y tramite de apoyo económico para estudiantes seleccionados para desarrollar judicatura, pasantía como modalidad de grado y práctica profesional. 
• Apoyo convocatoria y vinculación de una (1) monitoria de apoyo en estrategias comunicativas para la biblioteca sede central, por un valor de $860.160.
• Solicitud de listados y soportes de los judicantes de continuidad al Área de Bienestar Universitario. 16 y 17 de enero de 2018.
• Solicitud de expedición del CDP actividades proyecto SF-PY 6.3 Vinculación de estudiantes en procesos Institucionales. 16 de enero de 2018.
• Proyección y envío de cuatro Cartas de continuidad para la continuidad de judicantes. 19 de enero de 2018. 
• Solicitud nuevamente de soportes completos de los estudiantes de continuidad en la judicatura al Área de Bienestar Universitario. 22 de enero de 2018. 
• Solicitud de soportes a cada uno de los estudiantes de continuidad de la judicatura en vista de que el área de Bienestar Universitarios no logró soportarlos. 
• Envío de soportes de cartas de compromiso a la Oficina Jurídica de la Universidad Surcolombiana. 22 de enero. 
• Proyección y envío para revisión de Convocatoria de apoyo económico para realizar prácticas, pasantías y judicaturas en la Universidad Surcolombiana. 
• Recepción de cartas de compromiso de la Oficina Jurídica con firma de rector. 26 de enero de 2018.
• Firma de Cartas de Compromiso estudiantes y Cooperadores. 
• Solicitud y envío de Cartas de compromiso con soportes a la Oficina de Presupuesto para expedición de Registro presupuestal. 29 de enero. 
• Proyección y envío de respuestas a solicitudes de las dependencias apoyo económico a las prácticas, pasantías y judicaturas que se desarrollen en las mismas. 26 y 29 de enero de 2018. 
• Solicitud y envío de afiliación a ARL de pasantes y judicantes. 
• Solicitud y envío de documentos a la Oficina de Personal para tramite de pago de apoyo económico a judicantes.  
</t>
  </si>
  <si>
    <t>• Apoyo económico para manutención y transporte terrestre con el fin de participar en taller de graduados.</t>
  </si>
  <si>
    <t xml:space="preserve">• Se asistió a todas las reuniones programadas  por rectoría vicerrectoría académica y demás dependencia  (anexo documentación)
• Se recepcióna la documentación de los convenios  que se realizan con la universidad  como el  de la cruz roja  y el de BODYTECH (se anexo documentación )
• Se  hicieron 679 carnet para los grados del día 23 febrero del presente año(anexo imagen fotográfica )
• Se  recepción y se da respuesta  a los oficios recibidos   de la oficina tanto físico como virtual (se anexa documentos y pantallazos)
• Asesoría y acompañamiento a las facultades  en el tema de  acreditación y renovación de registro calificado   
• Coordinación del primer encuentro de graduados  destacados de la universidad para el día 11 de mayo 
•  Se coordinó y se realizó acompañamiento al evento de  AFILIADOS CÁMARA DE COMERCIO(anexo fotos y asistencia )
</t>
  </si>
  <si>
    <t xml:space="preserve">• Adquisición de equipos de cómputo para dirección de centro de graduados
• Adquisición de material para impresión de carnets para los graduados de la usco, techno trade Ltda.
</t>
  </si>
  <si>
    <t>Se adquirieron 2 equipos para la investigación:
1. Computador portátil HP ProBook 440 G4, Intel CoreTM ¡5- 7200U, WindowsR 10 Profesional 64, No, RT bgn 1x1 +BT 4.0 WW, 4GB (1X4GB) 2133 DDR4, HDD 1TB 5400RPM SATA, LCD 14 HD AG LED SVA Fhdc Slim 1 Ant, No ODD, 1/1/0
2. Video proyector Epson Power Lite S31+ Tecnología: 3LCD Luminosidad: 3200 lumens Resolución: SVGA 800X600 Contraste: 15.000:1 Vida útil: 5000 Horas Normal, 10.000 Horas ECO Distancia de Proyección: 0,88 - 10,44 m Apertura de pantalla: 23" - 350" Conectividad: HDMI, VGA, USB Tipo A, USB Tipo B, RCA, S-Video, Parlante 2W Características Especiales: LAN inalámbrica IEEE 802.11b/g/n (Accesorio opcional)</t>
  </si>
  <si>
    <t>Se renovaron 7 licencias de bases de datos para la investigación:
1. Colección Freedom de Science Direct
2. Clinics
3. Embase
4. Compendex
5. Scopus
6. Reaxys
7. Colección de Libros Electrónicos Legacy</t>
  </si>
  <si>
    <t>Se está apoyando a la formación de alto nivel de 12 docentes:
1. Cristian Arnoldo Ramírez Castrillón - Doctorado en Estudios Territoriales Universidad de Caldas
2. Eduardo Plazas Motta - Doctorado en Educación en la Universidad de Deusto, Bilbao-España
3. Elías Francisco Amórtegui Cedeño - Doctorado en Didáctica de las Ciencias Experimentales en la Universidad de Valencia, España
4. Germán Darío Hembuz Falla - Doctorado en Ciencias Sociales, Niñez y Juventud Fundación Centro Internacional De Educación Y Desarrollo Humano – CINDE
5. Germán Fabián Escobar Fiesco - Doctorado En Matemática Aplicada en la Universidad de Sao Paulo Brasil
6. Jenny Liseth Avendaño López - Doctorado en Ciencias Sociales, Niñez y Juventud Fundación Centro Internacional De Educación Y Desarrollo Humano – CINDE
7. José Jardani Giraldo Uribe - Doctorado en Desarrollo Sostenible Universidad de Manizales
8. Julio Roberto Jaime Salsa - Doctorado en Ciencias Sociales, Niñez y Juventud Fundación Centro Internacional De Educación Y Desarrollo Humano – CINDE
9. Luis Alfredo Muñoz Velasco - Doctorado en Desarrollo Sostenible Universidad de Manizales
10. Mauricio Penagos - Doctorado en Educación Matemática, Universidad Antonio Nariño – Bogotá
11. Nercy Gutiérrez Cardoso - Doctorado en Ciencias de la Educación, en la Universidad del Quindío
12. Zully López Cuellar - Doctorado en Didáctica de las Ciencias Experimentales en la Universidad de Valencia, España</t>
  </si>
  <si>
    <t>Fortalecimiento de las capacidades investigativas en modalidad proyectos</t>
  </si>
  <si>
    <t>Se están apoyando 2 proyectos:
1. Reconstrucción de los itinerarios terapéuticos de las mujeres con cáncer de mama para la reconstrucción de los senos en la ciudad de Neiva (Huila)
2. Desarrollo de un nuevo producto a base de tilapia (oreochromis sp) mediante la aplicación de métodos de salado-ahumado al vacío</t>
  </si>
  <si>
    <t>Se ha logrado un avance del 35% del total del proyecto, según informe de avance.</t>
  </si>
  <si>
    <t>Se lograron 2 nuevas patentes:
1. Proceso para el tratamiento de la vinaza
2. Aparato de transmisión giro avance perpendicular
En estos momentos hay 3 patentes en trámite:
1. Acondicionador orgánico mineral- inteligente
2. Sistema y métodos para la determinación del contenido de carbohidratos de alimentos Individuales o menús compuestos y la estimación de bolos de insulina
3. Rampa Orotraqueal
Existen 2 nuevas posibles patentes:
1. Brazalete de detección de sonidos de alarma para personas sordas e hipoacúsicas
2. Recolector de agua lluvia portátil totalmente desmontable</t>
  </si>
  <si>
    <t>Taller Carpintería para la investigación con experto en Gestión y  apropiación social del conocimiento</t>
  </si>
  <si>
    <t>Se han realizado 2 talleres:
1. Taller Sobre Revisiones Sistemáticas
2. Taller: La Carpintería de la Escritura para la Investigación” para el desarrollo del curso corto en “DATA SCIENCE FUNDAMENTAL”</t>
  </si>
  <si>
    <t>Se apoyó al desarrollo de 39 proyectos formulados por los grupos con un avance del 100% cada uno, en el marco del convenio ONDAS: 
Nombre del Grupo de Investigación - Pregunta de Investigación - Avance - Porcentaje
1. CONVIVIR EN PAZ - ¿Cuáles son los problemas de convivencia escolar que cotidianamente se observan en la institución educativa san Lorenzo del Municipio de Suaza? - Se han realizado 3 visitas de asesoría presencial y 2 virtuales. Hasta el momento se han diligenciado hasta la bitácora 7 –  100%
2. TEJEDORES DE SUEÑOS - ¿Cómo rescatar la artesanía del sombrero Suaza para que no desparezca su tradición y como proyectar un relevo generacional en los jóvenes del municipio de Suaza para que continúe la trayectoria de las artesanas de avanzada edad? - Se han realizado 3 visitas de asesoría presencial y 2 virtuales. Hasta el momento se han diligenciado hasta la bitácora 6 -  100%
3. CLUB ESCOLAR DE CIENCIA, TECNOLOGIA E INNOVACIÓN SAN JUAN BOSCO - "¿Históricamente cuáles plantas medicinales han sido utilizadas en la comunidad educativa y para qué sintomatología son utilizadas?, ¿Las familias de los estudiantes de los grados de secundaria en qué proporción son adictas al tratamiento con productos naturales o de la medicina farmacéutica?, ¿Cuáles son las razones de ese comportamiento?” - Se han realizado 3 visitas de asesoría presencial y 2 virtuales. Hasta el momento se han diligenciado hasta la bitácora 7 -  100%
4. SONAE - ¿CUÁLES SON LAS ESPECIES DE PLANTAS DE USO COMESTIBLES EN EL CASCO URBANO, ASÍ COMO EN LAS VEREDAS PUEBLO VIEJO, LLANITOS Y BUENOS AIRES DEL MUNICIPIO ACEVEDO Y COMO SE ELABORAN LAS RECETAS GASTRONÓMICAS LOCALES A PARTIR DE ELLAS? - Se han realizado 3 visitas de asesoría presencial y 2 virtuales. Hasta el momento se han diligenciado hasta la bitácora 7 -  100%
5. PINVAMAC (PEQUEÑOS INVESTIGADORES AMBIENTALES DE ACEVEDO) - ¿cuál es el estado actual en la que se encuentra la quebrada el cangrejo del municipio de Acevedo, Huila? - Se han realizado 3 visitas de asesoría presencial y 2 virtuales. Hasta el momento se han diligenciado hasta la bitácora 6 -  100%
6. REVERDESER - Qué viabilidad hay en la producción de abono orgánico con la pulpa de café en la institución educativa San Adolfo - Se han realizado 3 visitas de asesoría presencial y 2 virtuales. Hasta el momento se han diligenciado hasta la bitácora 7 -  100%
7. SEMILLAS DE INVESTIGACION - ¿cuál es la onda de luz más benéfica para el crecimiento de semillas de frijol, maíz y arveja? - Se han realizado 3 visitas de asesoría presencial y 2 virtuales. Hasta el momento se han diligenciado hasta la bitácora 7 -  100%
8. VIGIAS AMBIENTALES ESCOLARES - "¿Cuales fuentes hídricas de la región han desaparecido y cuales han disminuido su caudal? ¿Cuáles han sido las causas de la desaparición o disminución de caudales? ¿Qué acciones se pueden sugerir para preservación?" - Se han realizado 3 visitas de asesoría presencial y 2 virtuales. Hasta el momento se han diligenciado hasta la bitácora 6 -  100%
9. LIBROS LIBRES - "¿Cómo lograr que los estudiantes de la zona rural de nuestro municipio puedan acceder a obras literarias de bajo costo y alta calidad sin violar derechos de autor?" - Se han realizado 3 visitas de asesoría presencial y 2 virtuales. Hasta el momento se han diligenciado hasta la bitácora 7 -  100%
10. LUPITOS - ¿Cómo obtener gas natural a partir de los residuos orgánicos producidos en nuestra comunidad educativa? - Se han realizado 3 visitas de asesoría presencial y 2 virtuales. Hasta el momento se han diligenciado hasta la bitácora 7 -  100%
11. EN LA PREVENCIÓN DE LA DESERCIÓN ESCOLAR - ¿Cuáles son las causas que provocan la deserción escolar y que estrategias se pueden implementar para reducir la problemática teniendo en cuenta la taza presentada en el año 2016 en la Institución educativa Esteban Rojas Tovar del municipio de Tarqui Huila? - Se han realizado 3 visitas de asesoría presencial y 2 virtuales. Hasta el momento se han diligenciado hasta la bitácora 7 -  100%
12. CONECTATE CON EL INGLÉS "CONECTA2" - ¿Cuál es la mejor técnica para el aprendizaje de vocabulario básico en inglés para los estudiantes de la zona rural de la I.E San Isidro del municipio de Acevedo dentro y fuera del aula de clase? - Se han realizado 3 visitas de asesoría presencial y 2 virtuales. Hasta el momento se han diligenciado hasta la bitácora 6 -  100%
13. RECICLANDO SUEÑOS - "¿Qué estrategias implementar para que los niños y la comunidad educativa San Isidro adopten Como práctica cotidiana la selección de los residuos sólidos y fomento de una cultura ambiental de la mano de la comunidad y las autoridades ambientales del municipio desarrollando  la  Construcción de cultura ambiental y ciudadanía?" - Se han realizado 3 visitas de asesoría presencial y 2 virtuales. Hasta el momento se han diligenciado hasta la bitácora 7 -  100%
14. FUTURITOS AMIGOS DEL MEDIO AMBIENTE - ¿CÓMO PODEMOS REUTILIZAR LOS RESIDUOS SÓLIDOS DE LA INSTITUCIÓN EDUCATIVA SAN JUAN BOSCO PARA MINIMIZAR LA CONTAMINACIÓN AMBIENTAL EN NUESTRA COMUNIDAD ESTUDIANTIL? - Se han realizado 3 visitas de asesoría presencial y 2 virtuales. Hasta el momento se han diligenciado hasta la bitácora 7 -  100%
15. CONQUISTADORES DEL ENTORNO - ¿Cómo está el entorno de la fuente termal y azufrada que desemboca en la quebrada del Chuyaco del municipio de Tarqui? ¿Cómo podemos preservar esta fuente? - Se han realizado 3 visitas de asesoría presencial y 2 virtuales. Hasta el momento se han diligenciado hasta la bitácora 7 -  100%
16. ELECTRÓN - ¿Cuáles plantas medicinales y para qué sintomatología podrían ser utilizadas en la comunidad educativa de la I.E. San Isidro? - Se han realizado 3 visitas de asesoría presencial y 2 virtuales. Hasta el momento se han diligenciado hasta la bitácora 7 -  100%
17. DEFENSORES DEL AGUA - ¿En qué condiciones se encuentra el agua en los nacederos de las veredas Las Juntas, El Vergel, Alto Tablón, La Argentina y Esmeralda? ¿Cómo cuidarlas? - Se han realizado 3 visitas de asesoría presencial y 2 virtuales. Hasta el momento se han diligenciado hasta la bitácora 7 -  100%
18. TEJIENDO PASOS - ¿Como el arte del tejido de la iraca desde el saber tradicional fortalece el patrimonio cultural y la educación propia de la comunidad educativa de la Institución Educativa la Unión del municipio de Suaza? - Se han realizado 3 visitas de asesoría presencial y 2 virtuales. Hasta el momento se han diligenciado hasta la bitácora 7 -  100%
19. CAFETERITOS INVESTIGADORES - Cómo nace, crece y se produce el árbol de café - Se han realizado 3 visitas de asesoría presencial y 2 virtuales. Hasta el momento se han diligenciado hasta la bitácora 6 -  100%
20. AQUANIÑOS - ¿El árbol nacedero aumenta los caudales hídricos de la vereda las Brisas de San Isidro Acevedo Huila? - Se han realizado 3 visitas de asesoría presencial y 2 virtuales. Hasta el momento se han diligenciado hasta la bitácora 6 -  100%
21. ORALIDAD Y ESCRITURA: TEJIENDO IDENTIDAD A PARTIR DE NUESTRO PASADO - ¿Cómo nuestra memoria colectiva y el pasado, expresado en los mitos y leyendas, reafirma nuestra identidad huilense y el amor por nuestra región? - Se han realizado 3 visitas de asesoría presencial y 2 virtuales. Hasta el momento se han diligenciado hasta la bitácora 6 -  100%
22. GREEN ENERGY ¿Cómo aprovechar la energía magnética para aplicarla en la vida cotidiana de los educandos de grado Séptimo de la Institución Educativa Marticas del municipio de Acevedo - Huila? - Se han realizado 3 visitas de asesoría presencial y 2 virtuales. Hasta el momento se han diligenciado hasta la bitácora 7 -  100%
23. ROBOTICS - ¿Cómo aplicar la robótica desde el área de Ciencias Naturales en los niños de grado Cuarto de la Institución Educativa Marticas de Acevedo, Huila? - Se han realizado 3 visitas de asesoría presencial y 2 virtuales. Hasta el momento se han diligenciado hasta la bitácora 7 -  100%
24. LOS DRONS - ¿Cómo incentivar el interés por la robótica con recursos caseros en el grado Octavo de la Institución Educativa Marticas del municipio de Acevedo - Huila? - Se han realizado 3 visitas de asesoría presencial y 2 virtuales. Hasta el momento se han diligenciado hasta la bitácora 7 -  100%
25. LOS PRIME - ¿Cómo diseñar un sistema de transformación de la energía con recursos reciclables en el grado Quinto de la Institución Educativa Marticas del municipio de Acevedo - Huila? - Se han realizado 3 visitas de asesoría presencial y 2 virtuales. Hasta el momento se han diligenciado hasta la bitácora 7 -  100%
26. ECOCREADORES - ¿La fabricación de algunos útiles escolares con material casero y reciclado permitirá aumentar la eficiencia académica de los estudiantes de la I.E. Marticas del municipio de Acevedo? - Se han realizado 3 visitas de asesoría presencial y 2 virtuales. Hasta el momento se han diligenciado hasta la bitácora 7 -  100%
27. PEQUEGENIOS - Cuales son las fortalezas y debilidades de utilizar de algunas plantas medicinales en el control de los vectores (cucarachas) - Se han realizado 3 visitas de asesoría presencial y 2 virtuales. Hasta el momento se han diligenciado hasta la bitácora 6 -  100%
28. ESCRITORES DE LIBERTAD - ¿Cómo fortalecer la comunicación y la sana convivencia mediante la ejecución del periódico escolar virtual, estimulando la lectura y comprensión lectora en los estudiantes de los grados tercero, Cuarto y quinto de la Institución Educativa la Unión del municipio de Suaza Huila? - Se han realizado 3 visitas de asesoría presencial y 2 virtuales. Hasta el momento se han diligenciado hasta la bitácora 7 -  100%
29. ALIMENTANDO CON AMOR ATRAVES DE NUESTRA HISTORIA - ¿Cual es la importancia del aprovechamiento y utilización de los productos tradicionales de la región de San José de Riecito en el municipio de Acevedo Huila? - Se han realizado 3 visitas de asesoría presencial y 2 virtuales. Hasta el momento se han diligenciado hasta la bitácora 7 -  100%
30. FAMILECTORES - ¿Cuál es el nivel educativo y los hábitos lectores de los padres de familia y estudiantes de la sede principal de la institución educativa la Victoria y que estrategias se pueden implementar para mejorar la formación de hábitos de estudio? - Se han realizado 3 visitas de asesoría presencial y 2 virtuales. Hasta el momento se han diligenciado hasta la bitácora 7 -  100% 
31. GUARDIANES AMBIENTALES - ¿Cómo podemos mejorar nuestro entorno ambiental a través del trabajo en equipo con los miembros de la comunidad de la Institución Educativa La Victoria? - Se han realizado 3 visitas de asesoría presencial y 2 virtuales. Hasta el momento se han diligenciado hasta la bitácora 7 -  100%
32. ABONOR - Como Fortalecer procesos de certificación en la producción de abonos orgánicos para implementar la agricultura limpia. - Se han realizado 3 visitas de asesoría presencial y 2 virtuales. Hasta el momento se han diligenciado hasta la bitácora 6 - 100%
33. COMIENDO ME NUTRO Y APRENDO - ¿Cómo crear buenos hábitos alimenticios en los 23 Estudiantes de la sede Paraíso de la I.E. La Bernarda del municipio de Guadalupe - Huila? - Se han realizado 3 visitas de asesoría presencial y 2 virtuales. Hasta el momento se han diligenciado hasta la bitácora 6 -  100%
34. EN LA ONDA DEL RECICLAJE - ¿Históricamente cuáles han sido las prácticas más usuales en la disposición final de los residuos orgánicos e inorgánicos? ¿Cuáles considera como buenas prácticas en esta materia que puedan ser tenidas en cuenta en la cultura ciudadana ambiental? - Se han realizado 3 visitas de asesoría presencial y 2 virtuales. Hasta el momento se han diligenciado hasta la bitácora 6 –  100%
35. LOS AGENTES DEL AMBIENTE - ¿Cómo podemos disminuir la contaminación del medio ambiental a través de la utilización de los desechos que se producen a la hora del procesamiento del café en la I. E. Bateas Sede El Encanto? - Se han realizado 3 visitas de asesoría presencial y 2 virtuales. Hasta el momento se han diligenciado hasta la bitácora 7 -  100%
36. LOS AMIGOS DE LA TIERRA - ¿Cómo disponer y aprovechar de forma adecuada los residuos sólidos orgánicos e inorgánicos generados en la sede Aguas Claras de la IE San Adolfo del municipio de Acevedo? - Se han realizado 3 visitas de asesoría presencial y 2 virtuales. Hasta el momento se han diligenciado hasta la bitácora 6 –  100%
37. LOS ECOLOGISTAS DEL FUTURO. - ¿Por qué a los niños y niñas de la Sede Sartenejal, les cuesta trabajo reciclar? - Se han realizado 3 visitas de asesoría presencial y 2 virtuales. Hasta el momento se han diligenciado hasta la bitácora 7 -  100%
38. SEMILLAS DE AMOR - ¿Cuál es la incidencia que tiene la huerta escolar en la construcción de aprendizajes significativos, desde la interdisciplinariedad en los niños y niñas de la Institución Educativa José Acevedo y Gómez – Sede El Mirador? - Se han realizado 3 visitas de asesoría presencial y 2 virtuales. Hasta el momento se han diligenciado hasta la bitácora 6 –  100%
39. EUREKA - ¿Por qué los habitantes de la vereda El Carmen no protegen la quebrada Toguache, siendo ésta su única fuente hídrica? ¿Qué acciones podemos realizar para recuperarla? - Se han realizado 3 visitas de asesoría presencial y 2 virtuales. Hasta el momento se han diligenciado hasta la bitácora 7 - 100%</t>
  </si>
  <si>
    <t>Se apoyó a la formulación, ejecución y/o divulgación 3 eventos académicos: 
1. Evento nacional IV encuentro de la Asociación Colombiana de Inmunología (ACOI)
2. Segunda Asamblea General de la Red de Investigación en Enfermedad Cardiovascular, Barranquilla
3. Evento Internacional Encuentro Misión REDCOLSI Nodo Huila Programa Gestores del Conocimiento Sao Paulo - Rio de Janeiro</t>
  </si>
  <si>
    <t>Apoyo al desarrollo de los doctorados: Agroindustria y Desarrollo Agrícola Sostenible; Educación y Cultura Ambiental; en Ciencias de la Salud</t>
  </si>
  <si>
    <t>Se está apoyando con la financiación de 3 Programas de Doctorado:
1. Doctorado en Ciencia de la Salud
2. Doctorado en Educación y Cultura Ambiental
3. Doctorado en Agroindustria</t>
  </si>
  <si>
    <t>Diseño del documento de política y estrategia institucional para favorecer la formación investigativa, la investigación formativa y la investigación en sentido estricto. PLAN DE MEJORAMIENTO</t>
  </si>
  <si>
    <t>Apoyo a la consolidación de grupos de investigación</t>
  </si>
  <si>
    <t>Se está apoyando a 3 Grupos de Investigación: 
1. Agroindustria
2. Mi Dneuropsy
3. Unitcom</t>
  </si>
  <si>
    <t>Se está apoyando con la financiación de 4 proyectos de investigación en modalidad trabajos de grado:
1. Evaluación de los parámetros fisicoquímicos de cafés especiales origen Huila y su influencia en la encapsulación y extracción de bebidas de café en máquinas mono dosis comerciales y su aceptación por consumidores
2. Fermentación de pulpa de café mediante inoculación de S. Cerevisiae Var. Ellipsoideos y chaptalización con miel y jugo de caña de azúcar
3. Aislamiento y caracterización del glicolipido mayoritario de la especie Vegetal Ipomoea Purpurea (l) Roth y su evaluación como modulador de resistencia a múltiples fármacos en células cancerígenas
4. Análisis de la participación electoral de los jóvenes del municipio de rivera en elecciones nacionales 2006-2014-2018</t>
  </si>
  <si>
    <t>Se está apoyando con la financiación de 2 proyectos ejecutados por semilleros de investigación:
1. Proyecto aprendiendo a estudiar las clases en el club de apoyo matemático del Huila "CAMATH"
2. Proyecto evaluación biológica de los extractos del helecho Eupodium Pittueri empleada en el crecimiento del vello facial en el municipio de Acevedo Huila</t>
  </si>
  <si>
    <t>Se está apoyando con la vinculación de 3 jóvenes investigadores:
1. María Angélica Segura Durán
2. Juan Sebastián Lozano Plazas 
3. Cristian Fabián Villanueva Bonilla</t>
  </si>
  <si>
    <t>Vinculación de jóvenes investigadores en modalidad de medicos rurales</t>
  </si>
  <si>
    <t>Se está apoyando con la vinculación de 2 jóvenes investigadores en modalidad de médicos rurales:
1. Julián David Javela Rúgeles
2. Juan Camilo Barrios Torres</t>
  </si>
  <si>
    <t>Se está apoyando con la financiación de la ejecución de 3 proyectos de investigación de convocatorias internas y externas
1. Proyecto mediana cuantía correlatos neurofisiológicos del procesamiento emocional de los perfiles clínicos de niños vinculados al acoso escolar
2. Proyecto de menor cuantía "niveles de interferón gamma y citocinas pro-inflamatorias en lavado bronco alveolar de pacientes adultos con sospecha de tuberculosis"
3. Proyecto estudio de la fricción de la mecánica cuántica</t>
  </si>
  <si>
    <t>Se está apoyando con la Cofinanciación de 11 Convenios:
1. Convenio 1229-2017
2. Convenio 749
3. Convenio FP44842-401-2017
4. Convenio 132-2017
5. Convenio ACUERDO SUIZA, USCO, SURCHER, SLOWFOOD
6. Convenio FP44842-164-2017
7. Convenio 245
8. Convenio 707
9. Convenio 085 DE 2015
10. Convenio CPIP
11. Convenio Universidad de Barcelona TOINN</t>
  </si>
  <si>
    <t>Se ha realizado actualización de procedimientos del proceso de investigación relacionados a continuación:
1. MI-INV-PR-01 CONVOCATORIAS INTERNAS DE INVESTIGACIÓN Y PROYECCIÓN SOCIAL
2. MI-INV-PR-03 GESTIÓN Y EDICIÓN DE REVISTAS CIENTÍFICAS
En la actualidad se está aprobando la creación del procedimiento MI-INV-PR-06 PRODUCCIÓN ACADÉMICA y actualización del procedimiento MI-INV-PR-02 ADMINISTRACIÓN TÉCNICA Y FINANCIERA DE PROYECTOS (SEMILLEROS Y GRUPOS) y sus instrumentos. Igualmente se trabaja en la creación del procedimiento de Propiedad Intelectual.</t>
  </si>
  <si>
    <t>Avance del Sistema de Información SIVIPS en su módulo de convocatorias:
Éste contempla configuración de convocatoria, registro de proyectos, evaluación de requisitos mínimos, proceso de reclamaciones, evaluación de pares evaluadores y publicación de resultados finales. A fecha del presente informe se está capacitando a cada una de las facultades en el manejo del mismo.</t>
  </si>
  <si>
    <t>Estudio que defina el procedimiento que permita la descentralización de los recursos financieros de la VIPS para la dotación y actualización bibliográfica y bases de datos del Centro de Información y Documentación. PLAN DE MEJORAMIENTO</t>
  </si>
  <si>
    <t>Está en proceso de definir procedimiento para la sistematización (ubicación, distribución) de todo el material bibliográfico que entre y debe ser incluido dentro del sistema KOHA, de manera que para donde vayan se haga el mismo paso para que hagan el préstamo y se pueda buscar.</t>
  </si>
  <si>
    <t>Se está apoyando 2 centros de investigaciones:
1. CESURCAFE
2. CESPOSUR</t>
  </si>
  <si>
    <t>Un estudio técnico para formalizar el diseño e implementación del plan estratégico de Ciencia, Tecnología e Innovación y Desarrollo CTI+D. PLAN DE MEJORAMIENTO</t>
  </si>
  <si>
    <t>Evaluación de 1 Libro de Investigación: “Memorias de un barrio en resistencia”.
Cinco libros diagramados y en fase final de publicación (listos para impresión): "¡Este barrio es La Libertad!" Luchas campesinas por el derecho a la ciudad 1960-1984. Fausto Tovar Vargas. Innovación y reflexiones en la enseñanza de la biología. Una experiencia entre Colombia y España. Elías Amórtegui y Valentín Gavidia (Eds.). Plantas utilizadas en una comunidad cafetera de Acevedo, Huila. Jeison Rosero y otros. Transformación del paisaje urbano de Neiva 1930-1960. Entre la modernidad y la modernización. Rocío Polanía. 
Edición del libro presentado por la Vicerrectoría Académica "Recordar el futuro. Planificación de la comunicación desde la comunicación", del autor boliviano Adalid Contreras Baspineiro, invitado por la Escuela de Formación Pedagógica.</t>
  </si>
  <si>
    <t>Gestión para la consolidación de revistas científicas institucionales (corrección de estilo, elaboración de abstracs, diseño, diagramación, capacitación a editores y publicación de revistas)</t>
  </si>
  <si>
    <t>Se viene trabajando en la consolidación de los procesos editoriales de revistas, mediante la definición de políticas y lineamientos que permitan tener mayor capacidad de indexación en indices y bases de datos nacionales e internacionales. Se crea la politica editorial, El Comité de Producción de Revistas Científicas y la puesta en marcha de sistemas de información como Open Journal Systems (OJS). Finalmente se apoya a cada revista en procesos de maquetación de artículos en diferentes formatos como HTML. Se espera que para la próxima convocatoria Colciencias, La Universidad pueda participar con las 4 revistas más solidas buscando recuperar su indexación en Publindex.</t>
  </si>
  <si>
    <t>Apoyo y fortalecimiento a la consolidación de la editorial surcolombiana (corrección de estilo, diseño diagramación, capacitación a editores y publicación de libros institucionales)</t>
  </si>
  <si>
    <t>Evaluación de 1 Libro de Investigación: “Memorias de un barrio en resistencia”.
Tres libros evaluados, con primera corrección de estilo y evaluados por pares producto de la convocatoria 2016-2017, que por los procesos de ajuste y tiempos de los autores fueron quedando atrás en el proceso de publicación:    Empoderamiento del proceso de enseñanza-aprendizaje del inglés y uso de las TIC. Carlos Muñoz, Competencias laborales del productor de pasifloras en el Huila. Hernando Gil Tovar y otros; Estado de cosas inconstitucional en la política pública penitenciaria de Colombia. Jimmy Soto Díaz y María Eugenia Herrera.
Reglamentación de la Tienda Universitaria en la USCO, con el propósito de ofertar productos y servicios con la marco USCO a partir de la formulación del proyecto de "FACTIBILIDAD PARA LA CREACIÓN DE LA TIENDA UNIVERSITARIA EN LA USCO".
Preparación de la Editorial para participar con Stand en la 31 versión de la FERIA INTERNACIONAL DEL LIBRO BOGOTÁ - FILBo, con el propósito de divulgar y comercializar las publicaciones de la EDITORIAL USCO.</t>
  </si>
  <si>
    <t>Reformulación y aprobación de la política de propiedad intelectual con la inclusión del reconocimiento a la innovación y a la creación artística y cultural en sus diversas formas de los profesores estudio analítico que condicione la permanencia del docente en la respectiva categoría del escalafón y garantizarle los estímulos o apoyos económicos resultados de su innovación o creación artística y cultural. PLAN DE MEJORAMIENTO</t>
  </si>
  <si>
    <t>Desde el comienzo de la gestión como abogado especialista en Propiedad Intelectual de la Universidad Surcolombiana, a Sebastián Puentes se le encomendó la labor de sacar adelante el Estatuto de Propiedad Intelectual, el cual, a corte de la fecha, se encuentra aprobado por el COCEÍN en reunión sostenida el pasado martes 28 de noviembre de 2017 e igualmente aprobado por el Consejo Académico de la Universidad en sesión realizada el pasado 27 de febrero de 2018. Ahora bien, el proyecto se encuentra en el Consejo Superior Universitario para su aprobación final y puesta en marcha debida, para lo cual hay sesión el próximo 19 de abril del corriente año. Se podría decir que el proceso del Estatuto para su aplicación en la Universidad lleva un 90% de adelanto</t>
  </si>
  <si>
    <t>Apoyo a la visibilidad nacional e internacional de la Universidad (movilidad académica de docentes, estudiantes y personal administrativo y expertos invitados, internacionalización de la proyección social.</t>
  </si>
  <si>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Apoyo movilidad académica e investigativa y de proyección social de docentes, estudiantes, personal administrativo y graduados, que participan en actividades de internacionalización:</t>
    </r>
    <r>
      <rPr>
        <sz val="11"/>
        <color theme="1"/>
        <rFont val="Calibri"/>
        <family val="2"/>
        <scheme val="minor"/>
      </rPr>
      <t xml:space="preserve">
Se registraron un total de 18 apoyos relacionados a continuación:
1. O.A 001 DE 2018 aprobó el apoyo por valor de $1.000.000, Por concepto de compra de tiquete aéreo internacional
2. O.A 002 DE 2018 aprobó el apoyo por valor de $1.000.000, Por concepto de compra de tiquete aéreo internacional en la ruta NEIVA-MEXICO-NEIVA, a una estudiante MARIA CAMILA OLIVEROS C.C. 1075305418, VALOR TIQUETE $1.000.000, teniendo en cuenta que fue admitida en la UNIVERSIDAD NACIONAL AUTONOMA DE MEXICO, para realizar intercambio académico durante el semestre 2018-A del 25 de Enero al 16 de Junio de 2018. El avance se realizara con fecha del 16 al 19 de Enero de 2018.
3. O.A 003 DE 2018 aprobó el apoyo por valor de $1.000.000, Por concepto de compra de tiquete aéreo internacional en la ruta NEIVA-MEXICO-NEIVA, a una estudiante CRISTIAN DAVID CAMACHO RODRIGUEZ C.C. 1.075303232, VALOR TIQUETE $1.000.000, teniendo en cuenta que fue admitida en la UNIVERSIDAD NACIONAL AUTONOMA DE MEXICO, para realizar intercambio académico durante el semestre 2018-A del 29 de Enero al 08 de Junio de 2018. El avance se realizara con fecha del 16 al 19 de Enero de 2018.
4. O.A 004 DE 2018 aprobó el apoyo por valor de $1.000.000, Por concepto de compra de tiquete aéreo internacional en la ruta CARTAGENA-BOGOTA-SAO PAULO-NATAL, a un estudiante CESAR ANDRES DIAZ POLO C.C. 1047498940, VALOR TIQUETE $1.000.000, teniendo en cuenta que ha sido seleccionado como beneficiario de la convocatoria de becas BRACOL, para realizar intercambio académico en la Universidad Federal Rio Grande de Norte durante el semestre 2018-A. El avance se realizara con fecha del 19 al 24 de Enero de 2018.
5. O.A 005 DE 2018 aprobó el apoyo por valor de $1.000.000, Por concepto de compra de tiquete aéreo internacional en la ruta BOGOTÁ D. C. – CIUDAD MEXICO – BOGOTÁ D.C., a un estudiante ANDERSON SMITH CABRERA BELTRAN C.C. 1144073753, VALOR TIQUETE $1.000.000, teniendo en cuenta que ha sido seleccionado como beneficiario de la convocatoria de becas MACMEX, para realizar intercambio académico en el Instituto Tecnologico Superior de Tantoyuca durante el semestre 2018-A. El avance se realizara con fecha del 22 al 25 de Enero de 2018.
6. O.A 006 DE 2018 aprobó el apoyo por valor de $1.000.000, Por concepto de compra de tiquete aéreo internacional en la ruta BOGOTÁ D. C. – BUENOS AIRES – BOGOTÁ D.C., a una estudiante JAZMIN YULIETH CUELLAR DIAZ  C.C. 1075309526, VALOR TIQUETE $1.000.000, teniendo en cuenta que ha sido seleccionado como beneficiario de la convocatoria de becas MACA, para realizar intercambio académico en la Universidad Nacional del Litora durante el semestre 2018-A. El avance se realizara con fecha del 23 al 25 de Enero de 2018
7. O.A 010 DE 2018 aprobó el apoyo por valor de $4.000.000, Por concepto de pago de gastos de alojamiento y alimentación al  estudiante THAIS AGUES BARBOSA, de la República Federativa de Brasil, perteneciente a la carrera de Ciencias Biológicas de la Universidad  Federal de Rio Grande del Norte - Brasil,  durante el semestre académico que inicia el 05 de febrero y finaliza el 02 de junio de 2018. El valor correspondiente es de $1.000.000 para cada uno de los meses de febrero a Mayo de 2018.
8. O.A  008 DE 2018 aprobó el apoyo por valor de $4.000.000, Por concepto de pago de gastos de alojamiento y alimentación al  estudiante ISRAEL DIAZ AMADOR, de los Estados Unidos Mexicanos, perteneciente a la Licenciatura en Cultura Física de la Benemérita Universidad Autónoma de Puebla,  durante el semestre académico que inicia el 05 de febrero y finaliza el 02 de junio de 2018. El valor correspondiente es de $1.000.000 para cada uno de los meses de febrero a Mayo
9. O.A 009 DE 2018 aprobó el apoyo por valor de $4.000.000, Por concepto de pago de gastos de alojamiento y alimentación al  estudiante MARCO ANTONIO VICTORIO DE LA CRUZ, de los Estados Unidos Mexicanos, perteneciente a la carrera de Ingeniería Petrolera del Instituto Tecnológico Superior de Tantoyuca,  durante el semestre académico que inicia el 05 de febrero y finaliza el 02 de junio de 2018. El valor correspondiente es de $1.000.000 para cada uno de los meses de febrero a Mayo de 2018.
10. AVANCE No. 011 de 2018 JUNA GUILLERMO BOLIVAR VALDERRAMA
11. COMISION INTERCAMBIO EDUCATIVO ENTRE EEUU Y COLOMBIA BECARIO JEREMY THOMAS DA ROSA
12. AVANCE ALEXANDRA URIBE SANCHEZ Apoyo económico para compra de tiquete aéreo JAZMIN CUELLAR DIAZ  programa Ciencia Política
13. AVANCE No. 023 de 2018 ANGELA MAGNOLIA RÍOS Compra tiquetes aéreos.
14. ORGANIZACIÓN TURISTICA DEL HUILA S.A.S Contrato pasajes aéreos como apoyo a la visibilidad nacional e internacional de la USCO
15. PLAZAS MOTTA EDUARDO Apoyo económico para hospedaje alimentación y transporte terrestre a representante de los estudiantes
16. AVANCE No 061 de 2018 JOANNA CONSTANZA MITCHELL HERNANDEZ Apoyo económico para manutención con el fin de participar en seminario de capacitación
17. ROCIO DE LAS MERCEDES POLANIA FARFAN Viáticos para desplazamiento a sao pablo Brasil para realizar estudios
18. Apoyo económico para compra de tiquete aéreo a estudiante con destino a la ciudad de Buenos Aires.
Información suministrada por el Área Financiera de Proyección Social.
</t>
    </r>
  </si>
  <si>
    <t xml:space="preserve">Elaboración e implementación del estudio sobre políticas y estrategias sobre la consolidación de los procesos de articulación e integración Nacional e Internacional a través de Redes para la interrelación de acciones académicas, investigativas, curriculares y administrativas de la Universidad. PLAN MEJORAMIENTO. </t>
  </si>
  <si>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Reformulación del Estatuto de Proyección Social y la Política de Regionalización:</t>
    </r>
    <r>
      <rPr>
        <sz val="11"/>
        <color theme="1"/>
        <rFont val="Calibri"/>
        <family val="2"/>
        <scheme val="minor"/>
      </rPr>
      <t xml:space="preserve">  
1. Documento borrador del  ESTATUTO DE PROYECCIÓN SOCIAL. (Pendiente revisión y aprobación, avance de un 70 %, se adjunta el documento.          
Información suministrada por el Director Administrativo de Proyección Social y Proyectos Especiales Dr. FRANCISCO JOSE ARIZA GUERRA.
2. Se está concluyendo el documento maestro Proceso Construcción Política de Regionalización, un avance total del 80 %, se adjunta el documento. 
Información suministrada por el Director de Sedes JUAN CAMILO RAMÍREZ.     
</t>
    </r>
  </si>
  <si>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Reformulación del proyecto AUEES</t>
    </r>
    <r>
      <rPr>
        <sz val="11"/>
        <color theme="1"/>
        <rFont val="Calibri"/>
        <family val="2"/>
        <scheme val="minor"/>
      </rPr>
      <t xml:space="preserve">
Se llevó a cabo una jornada de trabajo con actores de Gobierno Departamental, Municipal, Gremios y Cámara de Comercio y red de Universidad en mesas temáticas de Proyección Social, para la socialización de la estrategia EDUCACION SUPERIOR RURAL del Ministerio de Educación Nacional MEN, posteriormente elaborar el plan estratégico de la mesa sectorial del Huila de manera integral, en mayo se debe dejar elaborado el Plan Estratégico Sectorial de Educación Superior Rural liderado por la USCO, con las actividades realizadas se considera un avance del 20 %. Se adjunta fotografías de la visita y queda pendiente documento con las conclusiones y actividades por realizar en pro de la estrategia.
Información suministrada por la Dra. GLORIA COTRINO
</t>
    </r>
  </si>
  <si>
    <r>
      <t>Unidad de medida:</t>
    </r>
    <r>
      <rPr>
        <sz val="11"/>
        <color theme="1"/>
        <rFont val="Calibri"/>
        <family val="2"/>
        <scheme val="minor"/>
      </rPr>
      <t xml:space="preserve"> </t>
    </r>
    <r>
      <rPr>
        <i/>
        <sz val="11"/>
        <color theme="1"/>
        <rFont val="Calibri"/>
        <family val="2"/>
        <scheme val="minor"/>
      </rPr>
      <t>Definir una agenda regional con actores sociales para implementación y apropiación de la Política de Regionalización:</t>
    </r>
    <r>
      <rPr>
        <sz val="11"/>
        <color theme="1"/>
        <rFont val="Calibri"/>
        <family val="2"/>
        <scheme val="minor"/>
      </rPr>
      <t xml:space="preserve"> 1. El profesor FABIO SALAZAR solicitó  Juan Camilo incluya Agenda Social Regional en la reunión de Regionalización, Se está concluyendo el documento maestro Proceso Construcción Política de Regionalización, un avance total del 80 %.     2. Apoyo económico a las distintas sedes en  las actividades por ejecutar, acciones, proyectos y eventos, actualmente se ha apoyado con $16.177.388.        </t>
    </r>
  </si>
  <si>
    <r>
      <t>Unidad de medida:</t>
    </r>
    <r>
      <rPr>
        <sz val="11"/>
        <color theme="1"/>
        <rFont val="Calibri"/>
        <family val="2"/>
        <scheme val="minor"/>
      </rPr>
      <t xml:space="preserve"> </t>
    </r>
    <r>
      <rPr>
        <i/>
        <sz val="11"/>
        <color theme="1"/>
        <rFont val="Calibri"/>
        <family val="2"/>
        <scheme val="minor"/>
      </rPr>
      <t>Macroproyectos:</t>
    </r>
    <r>
      <rPr>
        <sz val="11"/>
        <color theme="1"/>
        <rFont val="Calibri"/>
        <family val="2"/>
        <scheme val="minor"/>
      </rPr>
      <t xml:space="preserve"> Se ingresó el proyecto BANCO DE SANGRE de la Facultad de Salud a proyectos institucionales, recibirá recursos por $35.000.000 para su desarrollo en el presente año. (Anexa formato guía del proyecto)</t>
    </r>
  </si>
  <si>
    <r>
      <t>Unidad de medida:</t>
    </r>
    <r>
      <rPr>
        <sz val="11"/>
        <color theme="1"/>
        <rFont val="Calibri"/>
        <family val="2"/>
        <scheme val="minor"/>
      </rPr>
      <t xml:space="preserve"> </t>
    </r>
    <r>
      <rPr>
        <i/>
        <sz val="11"/>
        <color theme="1"/>
        <rFont val="Calibri"/>
        <family val="2"/>
        <scheme val="minor"/>
      </rPr>
      <t>Proyectos solidarios ejecutados en cofinanciación con entidades externas</t>
    </r>
    <r>
      <rPr>
        <sz val="11"/>
        <color theme="1"/>
        <rFont val="Calibri"/>
        <family val="2"/>
        <scheme val="minor"/>
      </rPr>
      <t xml:space="preserve">. Actualmente se vienen ejecutando:                                    
1. USCO - ALCALDIA DE NEIVA $1.338.537.964 para un total de ejecución del 97%.  
2. CONVENIO INTERADMINISTRATIVO 0132-2017 DEPARTAMENTO  DEL HUILA - USCO     para un total de ejecución del 97 %.
</t>
    </r>
  </si>
  <si>
    <r>
      <t>Unidad de medida:</t>
    </r>
    <r>
      <rPr>
        <sz val="11"/>
        <color theme="1"/>
        <rFont val="Calibri"/>
        <family val="2"/>
        <scheme val="minor"/>
      </rPr>
      <t xml:space="preserve"> </t>
    </r>
    <r>
      <rPr>
        <i/>
        <sz val="11"/>
        <color theme="1"/>
        <rFont val="Calibri"/>
        <family val="2"/>
        <scheme val="minor"/>
      </rPr>
      <t>Financiación de Banco de Proyectos de Proyección Social</t>
    </r>
    <r>
      <rPr>
        <sz val="11"/>
        <color theme="1"/>
        <rFont val="Calibri"/>
        <family val="2"/>
        <scheme val="minor"/>
      </rPr>
      <t>:  Actualmente se está trabajando sobre 10  proyectos de convocatoria 2017 y 3 de convocatoria 2016 y que tiene  como fecha límite para su finalización el 1 de junio de 2018.</t>
    </r>
  </si>
  <si>
    <r>
      <t>Unidad de medida:</t>
    </r>
    <r>
      <rPr>
        <sz val="11"/>
        <color theme="1"/>
        <rFont val="Calibri"/>
        <family val="2"/>
        <scheme val="minor"/>
      </rPr>
      <t xml:space="preserve"> Ejecución de actividades de Responsabilidad Social Universitaria (RSU): Fueron aprobados los proyectos de extensión de las 7 Facultades por un valor asignado de $14´285.714 cada una, los cuales se distribuyen en los Comités de cada Facultad de acuerdo a las solicitudes y actividades proyectadas en el año, hasta la fecha fueron entregados en la Dirección Administrativa de Proyección Social y Proyectos Especiales 44.</t>
    </r>
  </si>
  <si>
    <t>SP-PY3.5</t>
  </si>
  <si>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Convenios suscritos:</t>
    </r>
    <r>
      <rPr>
        <sz val="11"/>
        <color theme="1"/>
        <rFont val="Calibri"/>
        <family val="2"/>
        <scheme val="minor"/>
      </rPr>
      <t xml:space="preserve">
No se han firmado convenios por la entrada en vigencia de la ley de garantías.
Información suministrada por el Grupo de Proyectos Especiales. 
</t>
    </r>
  </si>
  <si>
    <r>
      <t>Unidad de medida:</t>
    </r>
    <r>
      <rPr>
        <sz val="11"/>
        <color theme="1"/>
        <rFont val="Calibri"/>
        <family val="2"/>
        <scheme val="minor"/>
      </rPr>
      <t xml:space="preserve"> Apoyo gestión académico administrativa GPE Informe de las actividades para fortalecer la Proyección Social.   Se realizaron las siguientes actividades: </t>
    </r>
    <r>
      <rPr>
        <b/>
        <sz val="11"/>
        <color theme="1"/>
        <rFont val="Calibri"/>
        <family val="2"/>
        <scheme val="minor"/>
      </rPr>
      <t>1.</t>
    </r>
    <r>
      <rPr>
        <sz val="11"/>
        <color theme="1"/>
        <rFont val="Calibri"/>
        <family val="2"/>
        <scheme val="minor"/>
      </rPr>
      <t xml:space="preserve"> En el marco de la reunión de la comisión regional de competitividad del Huila CRECI se realizó el desayuno de trabajo con los empresarios del Departamento del Huila con e l propósito de contar los beneficios de Acreditación Institucional de la Universidad Surcolombiana </t>
    </r>
    <r>
      <rPr>
        <b/>
        <sz val="11"/>
        <color theme="1"/>
        <rFont val="Calibri"/>
        <family val="2"/>
        <scheme val="minor"/>
      </rPr>
      <t>2</t>
    </r>
    <r>
      <rPr>
        <sz val="11"/>
        <color theme="1"/>
        <rFont val="Calibri"/>
        <family val="2"/>
        <scheme val="minor"/>
      </rPr>
      <t xml:space="preserve">. Participamos en el encuentro de afiliados Cámara de Comercio de Neiva 2 de marzo de 2018. </t>
    </r>
    <r>
      <rPr>
        <b/>
        <sz val="11"/>
        <color theme="1"/>
        <rFont val="Calibri"/>
        <family val="2"/>
        <scheme val="minor"/>
      </rPr>
      <t>3</t>
    </r>
    <r>
      <rPr>
        <sz val="11"/>
        <color theme="1"/>
        <rFont val="Calibri"/>
        <family val="2"/>
        <scheme val="minor"/>
      </rPr>
      <t>. Participamos en el evento de COTELCO los días 15 y 16 del mes de marzo se participó en la asamblea anual de COTELCO con el propósito de dar a conocer el portafolio de servicios de la Universidad y a su vez aunar la alianza Universidad - Empresa – Estado.</t>
    </r>
  </si>
  <si>
    <r>
      <t>Unidad de medida:</t>
    </r>
    <r>
      <rPr>
        <sz val="11"/>
        <color theme="1"/>
        <rFont val="Calibri"/>
        <family val="2"/>
        <scheme val="minor"/>
      </rPr>
      <t xml:space="preserve"> </t>
    </r>
    <r>
      <rPr>
        <i/>
        <sz val="11"/>
        <color theme="1"/>
        <rFont val="Calibri"/>
        <family val="2"/>
        <scheme val="minor"/>
      </rPr>
      <t>Estudio de Impacto:</t>
    </r>
    <r>
      <rPr>
        <sz val="11"/>
        <color theme="1"/>
        <rFont val="Calibri"/>
        <family val="2"/>
        <scheme val="minor"/>
      </rPr>
      <t xml:space="preserve">                                                                                                                          Desarrollo del capítulo 3 de Proyección Social para la consolidación del libro del Rector Pedro León Reyes Gaspar, en dónde se consolidad el impacto de éste subsistema durante los años 2014 al 2017.                                                                                                               Estructuración del documento de la evaluación del impacto de la proyección Social en dónde se presenta el marco teórico, antecedentes, presentación de la Proyección Social de la Universidad Surcolombiana, Justificación y un instrumento base para evaluar el impacto de la Proyección Social dirigido a docentes estudiantes y administrativos.</t>
    </r>
  </si>
  <si>
    <r>
      <t>Unidad de medida:</t>
    </r>
    <r>
      <rPr>
        <sz val="11"/>
        <color theme="1"/>
        <rFont val="Calibri"/>
        <family val="2"/>
        <scheme val="minor"/>
      </rPr>
      <t xml:space="preserve"> </t>
    </r>
    <r>
      <rPr>
        <i/>
        <sz val="11"/>
        <color theme="1"/>
        <rFont val="Calibri"/>
        <family val="2"/>
        <scheme val="minor"/>
      </rPr>
      <t xml:space="preserve">Apoyo a la gestión y puesta en marcha de emprendimiento </t>
    </r>
    <r>
      <rPr>
        <sz val="11"/>
        <color theme="1"/>
        <rFont val="Calibri"/>
        <family val="2"/>
        <scheme val="minor"/>
      </rPr>
      <t xml:space="preserve">                                                   Se recibió el informe trimestral de las actividades que viene desempeñando el Centro de Emprendimiento, anexo informe enviado por el Docente y Director RAFAEL HERNANDO MÉNDEZ</t>
    </r>
  </si>
  <si>
    <t>SP-PY4.2</t>
  </si>
  <si>
    <t>Implementación y operaclonalización de la Unidad de Atención Psicológica (USAP)</t>
  </si>
  <si>
    <r>
      <t>Unidad de medida:</t>
    </r>
    <r>
      <rPr>
        <sz val="11"/>
        <color theme="1"/>
        <rFont val="Calibri"/>
        <family val="2"/>
        <scheme val="minor"/>
      </rPr>
      <t xml:space="preserve"> </t>
    </r>
    <r>
      <rPr>
        <i/>
        <sz val="11"/>
        <color theme="1"/>
        <rFont val="Calibri"/>
        <family val="2"/>
        <scheme val="minor"/>
      </rPr>
      <t xml:space="preserve">Atención de consultas psicológicas a población con alteraciones emocionales.  </t>
    </r>
    <r>
      <rPr>
        <sz val="11"/>
        <color theme="1"/>
        <rFont val="Calibri"/>
        <family val="2"/>
        <scheme val="minor"/>
      </rPr>
      <t xml:space="preserve">            Se recibió Informe de la estadística de atención USAP Docente y Director FABIO SALAZAR.</t>
    </r>
  </si>
  <si>
    <r>
      <t>Unidad de medida:</t>
    </r>
    <r>
      <rPr>
        <sz val="11"/>
        <color theme="1"/>
        <rFont val="Calibri"/>
        <family val="2"/>
        <scheme val="minor"/>
      </rPr>
      <t xml:space="preserve"> </t>
    </r>
    <r>
      <rPr>
        <i/>
        <sz val="11"/>
        <color theme="1"/>
        <rFont val="Calibri"/>
        <family val="2"/>
        <scheme val="minor"/>
      </rPr>
      <t xml:space="preserve">Apoyo a la cofinanciación de proyectos de la alianza, Universidad, Empresa, Estado, Sociedad.                   </t>
    </r>
    <r>
      <rPr>
        <sz val="11"/>
        <color theme="1"/>
        <rFont val="Calibri"/>
        <family val="2"/>
        <scheme val="minor"/>
      </rPr>
      <t xml:space="preserve">                                                                                                                                                                               1. Gestionar ante el Ministerios de Educación Nacional, el plan estratégico intersectorial de Educación Superior Rural, para buscar la cofinanciación de proyectos identificados en el plan estratégico diseñado para este fin. Actualmente se encuentra apoyando la gestión la Dra.- Gloria Cotrino y se llevó a cabo una jornada de trabajo con actores de Gobierno Departamental, Municipal, Gremios y Cámara de Comercio y red de Universidad en mesas temáticas de Proyección Social, para la socialización de la estrategia EDUCACION SUPERIOR RURAL del Ministerio de Educación Nacional MEN, posteriormente elaborar el plan estratégico de la mesa sectorial del Huila de manera integral, en mayo se debe dejar elaborado el Plan Estratégico Sectorial de Educación Superior Rural liderado por la USCO.</t>
    </r>
  </si>
  <si>
    <t>Unidad de medida: Proyectos ejecutados por Agenda Social Regional                                                                        Se recibió informe de la Agenda Social Regional. Director Dr. FABIO SALAZAR, se anexa al archivo informe de PDI 1° Trimestre.</t>
  </si>
  <si>
    <r>
      <t>Unidad de medida:</t>
    </r>
    <r>
      <rPr>
        <sz val="11"/>
        <color theme="1"/>
        <rFont val="Calibri"/>
        <family val="2"/>
        <scheme val="minor"/>
      </rPr>
      <t xml:space="preserve"> </t>
    </r>
    <r>
      <rPr>
        <i/>
        <sz val="11"/>
        <color theme="1"/>
        <rFont val="Calibri"/>
        <family val="2"/>
        <scheme val="minor"/>
      </rPr>
      <t xml:space="preserve">Implementación del Programa de articulación de la Educación Superior con la Educación Media, el trabajo y el desarrollo humano  </t>
    </r>
    <r>
      <rPr>
        <sz val="11"/>
        <color theme="1"/>
        <rFont val="Calibri"/>
        <family val="2"/>
        <scheme val="minor"/>
      </rPr>
      <t xml:space="preserve">                                                                                                           1. la Secretaría de Educación Municipal de Neiva, priorizó el proyecto de articulación de la media con la educación superior el cual requiere un convenio interinstitucional para la ejecución de éste proyecto en la USCO. (En trámite minuta de convenio)                                                                                                                                 2.  La escuela pedagógica de la USCO  ha realizado  visitas a las instituciones de formación técnica con el propósito de hacer cadena de formación en tecnología</t>
    </r>
  </si>
  <si>
    <r>
      <t>Unidad de medida:</t>
    </r>
    <r>
      <rPr>
        <i/>
        <sz val="11"/>
        <color theme="1"/>
        <rFont val="Calibri"/>
        <family val="2"/>
        <scheme val="minor"/>
      </rPr>
      <t xml:space="preserve"> Consolidación del Plan Estratégico de Comunicaciones</t>
    </r>
    <r>
      <rPr>
        <sz val="11"/>
        <color theme="1"/>
        <rFont val="Calibri"/>
        <family val="2"/>
        <scheme val="minor"/>
      </rPr>
      <t xml:space="preserve">                                                              Con base en la resolución 032 de 2017, se creó el sistema de comunicaciones de la universidad, soportada en la política de comunicaciones institucional (acuerdo 030 de 2013 del consejo superior).  Así mismo, con el acuerdo 046 de 2016 del consejo superior universitario, se adopta el manual de identidad e imagen institucional de la universidad.  En este sentido, y con base en esta normatividad, estamos trabajando en el entendido de estructurar el plan estratégico. De igual manera, vale mencionar, que en el nuevo organigrama de reestructuración, surtió un cambio en la denominación de la dependencia, el cual es oficina asesora de comunicaciones.</t>
    </r>
  </si>
  <si>
    <r>
      <t>Unidad de medida:</t>
    </r>
    <r>
      <rPr>
        <sz val="11"/>
        <color theme="1"/>
        <rFont val="Calibri"/>
        <family val="2"/>
        <scheme val="minor"/>
      </rPr>
      <t xml:space="preserve"> </t>
    </r>
    <r>
      <rPr>
        <i/>
        <sz val="11"/>
        <color theme="1"/>
        <rFont val="Calibri"/>
        <family val="2"/>
        <scheme val="minor"/>
      </rPr>
      <t xml:space="preserve">Fortalecimiento de medios audiovisuales institucionales.                                                           </t>
    </r>
    <r>
      <rPr>
        <sz val="11"/>
        <color theme="1"/>
        <rFont val="Calibri"/>
        <family val="2"/>
        <scheme val="minor"/>
      </rPr>
      <t>En cuanto al fortalecimiento de los medios audiovisuales, se ha impulsado con el apoyo de un contratista que elabora y editas piezas comunicativas audiovisuales, apoyando positivamente esta labor, y que ha contribuido al posicionamiento y reconocimiento de la institución en el contexto nacional.  Así mismo, se continúa trabajando con los productos audiovisuales como “Ágora Surcolombiana” que se emite por el canal universitario “zoom”, con agendas diversas en las que interviene la comunidad universitaria, y públicos externos, evidenciando un acercamiento con la comunidad y una labor de extensión universitaria.</t>
    </r>
  </si>
  <si>
    <r>
      <t>Unidad de medida:</t>
    </r>
    <r>
      <rPr>
        <sz val="11"/>
        <color theme="1"/>
        <rFont val="Calibri"/>
        <family val="2"/>
        <scheme val="minor"/>
      </rPr>
      <t xml:space="preserve"> Portafolio de Servicios de la USCO                                                                                                           1. PORTAFOLIO DE SERVICIOS: Se está actualizando el Portafolio de Servicios, actualmente se encuentra diseñado y diagramado, algunas facultades ya entregaron la información como Salud y Educación, las demás se encuentran terminando sus ofertas. Información suministrada por la oficina de Proyectos Especiales Director FRANCISCO JOSE ARIZA GUERRA.</t>
    </r>
  </si>
  <si>
    <r>
      <rPr>
        <b/>
        <sz val="11"/>
        <color theme="1"/>
        <rFont val="Calibri"/>
        <family val="2"/>
        <scheme val="minor"/>
      </rPr>
      <t>ENERO</t>
    </r>
    <r>
      <rPr>
        <sz val="11"/>
        <color theme="1"/>
        <rFont val="Calibri"/>
        <family val="2"/>
        <scheme val="minor"/>
      </rPr>
      <t xml:space="preserve">: </t>
    </r>
    <r>
      <rPr>
        <sz val="10"/>
        <color theme="1"/>
        <rFont val="Calibri"/>
        <family val="2"/>
        <scheme val="minor"/>
      </rPr>
      <t xml:space="preserve">*ADQUISICION E INSTALACION DE SISTEMAS DE SONIDOS EN LOS SALONES DE LA FAC. ECONOMIA.                         *ADECUACION Y MANTENIMIENTO DE INFRAESTRUCTURA FISICA CUBIERTA COLISEO BALONCESTO, POLIDEPORTIVO Y SALON CLASES DE GIMNASIA.                                                                                                                                                                                               *ADECUACION Y PINTURA INFRAESTRUCTURA FISICA EDIFICIOS FAC. SALUD, PROG. ARTES Y FACULTAD DE ECONOMIA.                                                                                                                                                                                           *COMPRA E INSTALACION DE PELICULA DE SEGURIDAD VIDRIOS EDIFICIO SEDE CENTRAL USCO.                                                  *MANTENIMIENTO CORRECTIVO Y PREVENTIVO DE PLANTAS ELECTRICAS EN LAS SEDES NEIVA, GARZON, PITALITO Y GRANJA Y SUMINISTROE INSTALACION DE LAMPARAS PARA CANCHA DE FUTBOL DE LA SEDE CENTRAL.                                                                                                                                                                                                 *MANTENIMIENTO PREVENTIVO DE TRANSFORMADORES DE LAS SEDES NEIVA, GARZON, PITALITO Y LA PLATA.                                                                                                                                                                                                              *ADECUACION Y MEJORAMIENTO INFRAESTRUCTURA AREA DE LA FACULTAD DE CIENCIAS EXACTAS.      </t>
    </r>
    <r>
      <rPr>
        <sz val="11"/>
        <color theme="1"/>
        <rFont val="Calibri"/>
        <family val="2"/>
        <scheme val="minor"/>
      </rPr>
      <t xml:space="preserve">                                        </t>
    </r>
    <r>
      <rPr>
        <b/>
        <sz val="11"/>
        <color theme="1"/>
        <rFont val="Calibri"/>
        <family val="2"/>
        <scheme val="minor"/>
      </rPr>
      <t>MARZO: *</t>
    </r>
    <r>
      <rPr>
        <sz val="10"/>
        <color theme="1"/>
        <rFont val="Calibri"/>
        <family val="2"/>
        <scheme val="minor"/>
      </rPr>
      <t xml:space="preserve">ADECUACION Y MANTENIMIENTO DE INFRAESTRUCTURA FISICA DE ARTES DE LA USCO                                                                    *ADECUACION E INSTALACION DE ASCENSORES DE LA BIBLIOTECA DE LA SEDE CENTRAL Y LA FACULTAD DE SALUD                                     </t>
    </r>
    <r>
      <rPr>
        <b/>
        <sz val="11"/>
        <color theme="1"/>
        <rFont val="Calibri"/>
        <family val="2"/>
        <scheme val="minor"/>
      </rPr>
      <t>ABRIL</t>
    </r>
    <r>
      <rPr>
        <sz val="12"/>
        <color theme="1"/>
        <rFont val="Calibri"/>
        <family val="2"/>
        <scheme val="minor"/>
      </rPr>
      <t>:</t>
    </r>
    <r>
      <rPr>
        <sz val="10"/>
        <color theme="1"/>
        <rFont val="Calibri"/>
        <family val="2"/>
        <scheme val="minor"/>
      </rPr>
      <t xml:space="preserve"> *ADICION AL CONTRATO ADECUACION Y MANTENIMIENTO DE INFRAESTRUCTURA FISICA DE CUBIERTA DE COLISEO DE BALONCESTO Y SALON DE CLASES USO                                                                                                                                                                       *ADECUACIONES E INSTALACIONES CORRESPONDIENTES AL CONSULTORIO JURIDICO DE LA SEDE PITALITO                                                       *REVISION DE LOS DISEÑOS Y ESTUDIOS ESTRUCTURALES Y GEOTECNICOS DEL PROYECTO EDIFICIO. FAC. EDUCACION NEIVA</t>
    </r>
  </si>
  <si>
    <r>
      <rPr>
        <b/>
        <sz val="11"/>
        <color theme="1"/>
        <rFont val="Calibri"/>
        <family val="2"/>
        <scheme val="minor"/>
      </rPr>
      <t>ENERO</t>
    </r>
    <r>
      <rPr>
        <sz val="11"/>
        <color theme="1"/>
        <rFont val="Calibri"/>
        <family val="2"/>
        <scheme val="minor"/>
      </rPr>
      <t>: *</t>
    </r>
    <r>
      <rPr>
        <sz val="10"/>
        <color theme="1"/>
        <rFont val="Calibri"/>
        <family val="2"/>
        <scheme val="minor"/>
      </rPr>
      <t xml:space="preserve">ADQUISICION DE IMPLEMENTACION DEPORTIVA PARA PROGRAMAS DE DEPORTE FORMATIVO.                                   </t>
    </r>
    <r>
      <rPr>
        <b/>
        <sz val="11"/>
        <color theme="1"/>
        <rFont val="Calibri"/>
        <family val="2"/>
        <scheme val="minor"/>
      </rPr>
      <t>MARZO:</t>
    </r>
    <r>
      <rPr>
        <sz val="11"/>
        <color theme="1"/>
        <rFont val="Calibri"/>
        <family val="2"/>
        <scheme val="minor"/>
      </rPr>
      <t xml:space="preserve"> *</t>
    </r>
    <r>
      <rPr>
        <sz val="10"/>
        <color theme="1"/>
        <rFont val="Calibri"/>
        <family val="2"/>
        <scheme val="minor"/>
      </rPr>
      <t>ADQUISICION DE AIRES ACONDICIONADOS PARA LABORATORIOS DE LA SEDE PITALITO Y SEDE LA PLATA DE LA UNIVERSDIAD SURCOLOMBIANA</t>
    </r>
  </si>
  <si>
    <r>
      <rPr>
        <b/>
        <sz val="11"/>
        <color theme="1"/>
        <rFont val="Calibri"/>
        <family val="2"/>
        <scheme val="minor"/>
      </rPr>
      <t>ENERO</t>
    </r>
    <r>
      <rPr>
        <sz val="11"/>
        <color theme="1"/>
        <rFont val="Calibri"/>
        <family val="2"/>
        <scheme val="minor"/>
      </rPr>
      <t>:</t>
    </r>
    <r>
      <rPr>
        <sz val="10"/>
        <color theme="1"/>
        <rFont val="Calibri"/>
        <family val="2"/>
        <scheme val="minor"/>
      </rPr>
      <t>*FAC. SALUD: SUMINISTRO MUEBLES Y EQUIPOS DE OFICINA PARA ADECUACION DE AREA ASIGNADA A ESTUDIANTES DE INTERNADO ROTATORIO.                                                                                                                                                                                *DOTACION DE MUEBLES Y EQUIPOS DE OFICINA PARA LAS DEPENDENCIAS DE LA FACULTAD DE EDUCACION.</t>
    </r>
    <r>
      <rPr>
        <sz val="11"/>
        <color theme="1"/>
        <rFont val="Calibri"/>
        <family val="2"/>
        <scheme val="minor"/>
      </rPr>
      <t xml:space="preserve">                                                 </t>
    </r>
    <r>
      <rPr>
        <b/>
        <sz val="11"/>
        <color theme="1"/>
        <rFont val="Calibri"/>
        <family val="2"/>
        <scheme val="minor"/>
      </rPr>
      <t>MARZO:</t>
    </r>
    <r>
      <rPr>
        <sz val="11"/>
        <color theme="1"/>
        <rFont val="Calibri"/>
        <family val="2"/>
        <scheme val="minor"/>
      </rPr>
      <t xml:space="preserve"> </t>
    </r>
    <r>
      <rPr>
        <sz val="10"/>
        <color theme="1"/>
        <rFont val="Calibri"/>
        <family val="2"/>
        <scheme val="minor"/>
      </rPr>
      <t>*ADQUISICION DE AIRES ACONDICIONADOS PARA LA SEDE LA PLATA</t>
    </r>
  </si>
  <si>
    <r>
      <rPr>
        <b/>
        <sz val="11"/>
        <color theme="1"/>
        <rFont val="Calibri"/>
        <family val="2"/>
        <scheme val="minor"/>
      </rPr>
      <t>ENERO</t>
    </r>
    <r>
      <rPr>
        <sz val="11"/>
        <color theme="1"/>
        <rFont val="Calibri"/>
        <family val="2"/>
        <scheme val="minor"/>
      </rPr>
      <t>: *SUSCRIPCION A LA REVISTA SEMANA Y DINERO,  ESP. EN TEMAS FINANCIEROS, ECONOMICOS Y ADMINISTRATIVOS</t>
    </r>
  </si>
  <si>
    <r>
      <rPr>
        <b/>
        <sz val="11"/>
        <color theme="1"/>
        <rFont val="Calibri"/>
        <family val="2"/>
        <scheme val="minor"/>
      </rPr>
      <t>ENERO</t>
    </r>
    <r>
      <rPr>
        <sz val="11"/>
        <color theme="1"/>
        <rFont val="Calibri"/>
        <family val="2"/>
        <scheme val="minor"/>
      </rPr>
      <t xml:space="preserve">: </t>
    </r>
    <r>
      <rPr>
        <sz val="10"/>
        <color theme="1"/>
        <rFont val="Calibri"/>
        <family val="2"/>
        <scheme val="minor"/>
      </rPr>
      <t xml:space="preserve">*MANTENIMIENTO PREVENTIVO Y CORRECTIVO A EQUIPOS DE LABORATORIO Y ACCESORIOS DE LA OFICINA DE FACULTAD DE CIENCIAS JURIDICAS Y POLITICAS.                                                                                                                                       *MANTENIMIENTO PREVENTIVO Y CORRECTIVO DE AIRES ACONDICIONADOS DE LA FACULTAD DE EDUCACION.                                                   </t>
    </r>
    <r>
      <rPr>
        <b/>
        <sz val="11"/>
        <color theme="1"/>
        <rFont val="Calibri"/>
        <family val="2"/>
        <scheme val="minor"/>
      </rPr>
      <t/>
    </r>
  </si>
  <si>
    <t>*SUMINISTRO CONSUMO DE ELEMENTOS DE ASEO Y CAFETERIA PARA LA DECANATURA FAC.EDUCACION</t>
  </si>
  <si>
    <r>
      <rPr>
        <b/>
        <sz val="11"/>
        <color theme="1"/>
        <rFont val="Calibri"/>
        <family val="2"/>
        <scheme val="minor"/>
      </rPr>
      <t>ENERO</t>
    </r>
    <r>
      <rPr>
        <sz val="11"/>
        <color theme="1"/>
        <rFont val="Calibri"/>
        <family val="2"/>
        <scheme val="minor"/>
      </rPr>
      <t>:*Contrato V.A. 0055/2018 (Vicerrectoría Administrativa) para:  ADQUISICIÓN DE LA RENOVACIÓN DE LOS CERTIFICADOS DIGITALES SECURE SITE PRO PARA LOS DOMINIOS WWW DE LA UNIVERSIDAD SURCOLOMBIANA</t>
    </r>
  </si>
  <si>
    <r>
      <rPr>
        <b/>
        <sz val="11"/>
        <color theme="1"/>
        <rFont val="Calibri"/>
        <family val="2"/>
        <scheme val="minor"/>
      </rPr>
      <t>ENERO</t>
    </r>
    <r>
      <rPr>
        <sz val="11"/>
        <color theme="1"/>
        <rFont val="Calibri"/>
        <family val="2"/>
        <scheme val="minor"/>
      </rPr>
      <t>: Contratos de Prestación de Servicio para: VINCULACION DE PERSONAL DE CTIC.</t>
    </r>
  </si>
  <si>
    <r>
      <rPr>
        <b/>
        <sz val="11"/>
        <color theme="1"/>
        <rFont val="Calibri"/>
        <family val="2"/>
        <scheme val="minor"/>
      </rPr>
      <t>ENERO</t>
    </r>
    <r>
      <rPr>
        <sz val="11"/>
        <color theme="1"/>
        <rFont val="Calibri"/>
        <family val="2"/>
        <scheme val="minor"/>
      </rPr>
      <t>: *Contratos de Prestación de Servicio para: VINCULACIÓN PERSONAL PROYECTO GESTION AMBIENTAL SEM I-2018</t>
    </r>
  </si>
  <si>
    <r>
      <rPr>
        <b/>
        <sz val="11"/>
        <color theme="1"/>
        <rFont val="Calibri"/>
        <family val="2"/>
        <scheme val="minor"/>
      </rPr>
      <t>ENERO</t>
    </r>
    <r>
      <rPr>
        <sz val="11"/>
        <color theme="1"/>
        <rFont val="Calibri"/>
        <family val="2"/>
        <scheme val="minor"/>
      </rPr>
      <t>:*Contratos de Prestación de Servicio para: VINCULACIÓN PERSONAL SISTEMA GESTIÓN DE CALIDAD</t>
    </r>
  </si>
  <si>
    <t>*CAPACITACION A EMPLEADOS ADMINISTRATIVOS DE LA UNIVERSIDAD SURCOLOMBIANA: Seminarios, talleres, apoyo para matriculas.</t>
  </si>
  <si>
    <t>FOLLETO CAMPAÑA PREVENCIÓN CSPA
FOLLETO CAMPAÑA PREVENCIÓN VIH</t>
  </si>
  <si>
    <t>FORMATO "REGISTRO Y CONTROL DE ACTIVIDADES" DE LOS EVENTOS REALIZADOS EN EL MES.</t>
  </si>
  <si>
    <t>INFORME DE GESTIÓN CORRESPONDFIENTE A LOS MESES DE FEBRERO Y MARZO, DONDE SE OBSERVAN DIFERENTES REGISTROS DE LAS ACTIVIDADES ERALIZADAS.</t>
  </si>
  <si>
    <t>RELACIÓN DE ESTUDIANTES DEL SEMESTRE CERO (0) CON EL NOMBRE DEL PROGRAMA A QUE PERTENECEN Y NÚMERO DE IDENTIFICACIÓN, QUE PARTICIPARON EN LAS ACTIVIDADES "BIENVENIDA NUEVOS ESTUDIANTES" Y "RECORRIDOS"., FOTOGRAFIAS Y PLANILLAS DE ASISTENCIA DE LAS ACTIVIDADES REALIZADAS EN EL MES.</t>
  </si>
  <si>
    <t xml:space="preserve">1. INFORME DE GESTIÓN DEL MES DE ENERO DE LA COORDINADORA DE EXTENSIÓN CULTURAL.
2. RELACIÓN DE ASISTENCIA A LOS DIFERENTES TALLERES DEBIDAMENTE FIRMADO POR LOS ASISTENTES. 
1. INFORME DE GESTIÓN DEL MES DE MARZO DE LA COORDINADORA DE EXTENSIÓN CULTURAL.
2. RELACIÓN DE ASISTENCIA A LOS DIFERENTES TALLERES DEBIDAMENTE FIRMADO POR LOS ASISTENTES. </t>
  </si>
  <si>
    <t xml:space="preserve">EN EL MES DE ENERO DE 2018 NO SE REALIZARON ACTIVIDADES DE CLIMA ORGANIZACIONAL, YA QUE POR EFECTOS DE LA LEY DE GARANTIAS, NO SE PODIA REALIZAR ESTE TIPO DE ACTIVIDADES. 
</t>
  </si>
  <si>
    <t>EN EL MES DE MARZO DE 2018 NO SE REPORTÓ AVANCE, TENIENDO EN CUENTA QUE SE TIENE PROYECTADO EJECUTARLO EN EL PERÍODO 2018-2.</t>
  </si>
  <si>
    <t>ACTA DE RECIBO DE PARCIAL SUSCRITO POR EL SUPERVISOR DEL CONTRATO.</t>
  </si>
  <si>
    <t>RELACION ESTUDIANTES ATENDIDOS - SEGÚN FORMATO "ESTUDIO SOCIECONÓMICO"</t>
  </si>
  <si>
    <t>EN EL MES DE ENERO DE 2018 NO SE REPORTA INFORMACIÓN, YA QUE SE ESTÁ INICIANDO EL PROCESO DE RECOLECCIÓN DE DATOS Y DEFINICIÓN DEL ESTUDIO ESTADISTICO.</t>
  </si>
  <si>
    <t>RELACION ESTUDIANTES ATENDIDOS - REPORTADOS EN EL SIBU</t>
  </si>
  <si>
    <t>Se están realizando los proyectos de la Actualización del Manual de Convivencia, el Estatuto General y el Estatuto de Personal Administrativo.</t>
  </si>
  <si>
    <t>Formulación de un Modelo de Autoevaluación Institucional que referencia la metodología del proceso de autoevaluación, la interacción de comunicación continua y las formas de organización  del trabajo y las relaciones entre objetos, sujetos y circunstancias, con base en los lineamientos institucionales (PEU) nacionales e internacionales.                                                                                                                                      *Documento Creación de la Oficina de Aseguramiento de la Calidad.                                                                            *Documento Modelo de Autoevaluación                                                                                                                               *Plan de trabajo Formulado y socializado.                                                                                                                                       *Estado actual de los programas de la Institución respecto de renovación de registros calificados, acreditación y reacreditación</t>
  </si>
  <si>
    <t>%</t>
  </si>
  <si>
    <t xml:space="preserve">• Apoyo a propuesta de productos audiovisuales (HISTORIA DE LAS FACULTADES)
• Logística PATI con docentes en consejos de Facultad. 
• Reinducción a estudiantes antiguos Sedes.
• Visita Colegio Fortalecillas. 
</t>
  </si>
  <si>
    <t>Se encuentra actualmente en 30% el proceso de actualización de las bases de datos con indicadores de acreditación institucional</t>
  </si>
  <si>
    <t>Se contrató 4 profesionales quienes realizarán el estudio para la acreditación y/o habilitación de laboratorios especializados para investigación y se obtienen entre finales del segundo trimestre y primeros del tercer trimestre</t>
  </si>
  <si>
    <t>Se apoyó en la capacitación y/o participación de los siguientes eventos:
1 - XIX Congreso de la Asociación de Facultades, Escuelas e Instituciones de Derecho de América Latina - AFEIDAL - En la Universidad de ÁNAHUAC en CANCÚN - MÉXICO</t>
  </si>
  <si>
    <t>El documento de la política y Plan Estratégico de la Transversalidad en lo Académico ya fueron elaborados, el próximo paso es operativizarlo porque ya fue aprobado por el consejo académico; hay que definir estrategias para implementarlo, se encuentra en un 80% el avance de este proceso</t>
  </si>
  <si>
    <t>Está en fase de planeación para el desarrollo de capacitaciones y/o talleres en los próximos trimestres</t>
  </si>
  <si>
    <t>En estos momentos se encuentra en reuniones y mesas técnicas para la definición de posibles proyectos</t>
  </si>
  <si>
    <t>Se encuentra en proceso de definir el Plan Estratégico de Ciencia, Tecnología e Innovación y Desarrollo</t>
  </si>
  <si>
    <t>Los miembros de la comunidad académica (Estudiantes y Docentes) en el primer trimestre no han presentado artículos de investigación para ser evaluados y publicados en las revistas de la USCO y revistas externas.</t>
  </si>
  <si>
    <t>Está en fase de planeación para el desarrollo de talleres en los próximos trimestres</t>
  </si>
  <si>
    <t>DESCRIPCION EVIDENCIAS 1 TRIMESTRE</t>
  </si>
  <si>
    <t>DESCRIPCION EVIDENCIAS 2 TRIMESTRE</t>
  </si>
  <si>
    <t xml:space="preserve">• Elaboración propuesta de Concurso de poesía y ensayo para docentes.
• Elaboración proyecto PATI CON DOCENTES. 
• Encuentro con Facultades: Teleología institucional.
</t>
  </si>
  <si>
    <t xml:space="preserve">• Reinducción TELEOLOGÍA estudiantes antiguos
• Apoyo a la realización de boletín informativo No. 2 Viceacademica
• Elaboración y grabación de video para rendición de cuentas
• Elaboración de informe reinducción estudiantes antiguos. 
</t>
  </si>
  <si>
    <t xml:space="preserve">• Diseño, elaboración y publicación oferta 2018 – 2 académicas en diario la nación.
• Oferta académica 2018 -2 En radio regional (Pitalito - Garzón -  La Plata).
• Apoyo a Coordinadores para promoción de oferta académica en región (Pitalito – Garzón – La Plata). 
• Actualización y publicación de video oferta académica 2018 – 2. 
• Elaboración informe visita a cabildos indígenas 2018 - 1.
• Elaboración, edición y publicación de video ingreso para comunidades indígenas. 
• Visita I.E. Rafael Pombo. 
• Visita Institución Educativa Misael Pastrana Borrero, del municipio de Rivera.
• Visita feria organizada por la Secretaria de Educación en la Institución Educativa El Limonar.
• Participación Feria Académica y Empresarial organizada por el SENA. 
</t>
  </si>
  <si>
    <t>• Plan de Acción de las estrategias que se van a desarrollar para el año 2018-2</t>
  </si>
  <si>
    <t>• Apoyo económico con el fin de coordinar la visita de pares académicos para otorgar registro calificado programas nuevos: Apoyo maestria en Neuropsicologia</t>
  </si>
  <si>
    <t xml:space="preserve">  • Desarrollo de dos  tertulias pedagógicas. Del 13 de Abril al 27 de abril de 2018. Soporte: Registro de asistencia, que reposa en el archivo audiovisual y físico de la EFP. 
• Invitado HELBERTH AUGUSTO CHOACHI. Tema: Universidad y pos- acuerdo 04 de mayo de 2018. Soporte: Registro de asistencia, que reposa en el archivo audiovisual y físico de la EFP. Vídeo Conferencia y fotografías.
• Organización logística del día del maestro y presentación a la comunidad académica del  libro de la EFP Mayo Soporte: Plan de trabajo y organización.
• DÍA DEL MAESTRO Y LANZAMIENTO LIBRO EFP. 18 de mayo de 2018. Soporte: Registros de Asistencias, repositorio audiovisual.
• CIERRE DE LA EFP 8 de junio. Soporte: Registro de asistencia digital y físico.
</t>
  </si>
  <si>
    <t xml:space="preserve">• Apoyo económico para manutención con el fin de participar en el vi congreso panamericano de dengue
• Apoyo económico para manutención con el fin de participar en el xxiii latin american symposion 
• Apoyo económico para inscripción y asistir como ponente al v simposio internacional de educación ridectei
• Apoyo económico para manutención con el fin de participar en el ii congreso iberoamericano dircom
• Apoyo económico para manutención y pasajes terrestres con el fin de asistir a la xxxi feria internacional del libro
• Apoyo económico para manutención e inscripción al evento y taller con el fin de asistir a simposio internacional
• Apoyo económico para manutención y transporte terrestre con el fin de participar como investigador y docente
• excd.fed - viáticos con el fin de asistir al ii simposio internacional de contactos lingüísticos e interculturales
• Apoyo económico para manutención con el fin de participar en el ii encuentro internacional procesos de soporte
• Apoyo viáticos y pasajes terrestres con el fin de asistir a la 31 feria internacional del libro
• Apoyo viáticos y pasajes terrestres con el fin de asistir a la 31 feria internacional del libro
• Apoyo económico para manutención con el fin de asistir a la feria del libro 
• excd. facien - apoyo económico para capacitación de decano jaime polania quien participara como ponente
• viáticos y pasajes terrestres con el fin de asistir a la 31 feria internacional del libro
• viáticos, inscripción y pasajes terrestres con el fin de asistir al congreso nacional de derecho deportivo
• viáticos y pasajes terrestres con el fin de asistir al iv congreso internacional de experiencias
• apoyo económico para manutención con el fin de participar en el congreso american psyquiatric
• viáticos con el fin de asistir a la capacitación sobre actualización en cartografía social lectura
• excd.fed - viáticos e inscripción con el fin de participar en el viii encuentro nacional de matemáticas
• apoyo económico para manutención para participar en curso 
• pasajes terrestres con el fin de asistir como ponente al vii encuentro nacional de matemáticas y estadística
• apoyo económico para gastos de manutención y transporte terrestre con el fin de asistir a iv congreso
• excd. fed - apoyo económico para pasajes terrestres y manutención con el fin de asistir como ponente a congreso
• apoyo económico para inscripción manutención y transporte terrestre para participar en congreso
• excd. facien - apoyo económico para Luis Arturo polaina con el fin de participar en ix encuentro de ciencias de la complejidad
• viáticos y pasajes terrestres con el fin de participar en el ix encuentro interuniversitario sobre complejidad
• viáticos y pasajes terrestres con el fin de participar en el ix encuentro interuniversitario sobre complejidad
• viáticos y pasajes terrestres con el fin de participar en el ix encuentro interuniversitario sobre complejidad
• viáticos y pasajes terrestres con el fin de participar en el ix encuentro interuniversitario sobre complejidad
• viáticos con el fin de participar en la iv versión de congreso de investigación e innovación
• viáticos con el fin de participar en la iv versión de congreso de investigación e innovación
• viáticos para participar en el x coloquio de grupo iberoamericano de estudios empresariales de historia 
• viáticos con el fin de participar en la iv versión de congreso de investigación e innovación
• apoyo económico para manutención con el fin de participar en el congreso mundial de la hemofilia
• apoyo económico para manutención con el fin de participar en el xxii congreso ibero latinoamericano
• apoyo económico para gastos de manutención a José jordano Giraldo con el fin de desplazarse a España
• apoyo económico para gastos de manutención a wilian sierra con el fin de asistir al 25 internacional asosiation people
• excd. fed - apoyo económico para estadía y manutención para asistir al congreso of boddy image
• excd. fed - apoyo económico para hospedaje y alimentación con el fin de participar como ponente
• ex cd. fed - apoyo económico para hospedaje y alimentacion con el fin de participar como ponente
• apoyo económico para gastos de manutención a Eduardo plazas para asistir al ii simposio internacional de educación
• apoyo económico para manutención a Alfonso Manrique con el fin de asistir a congreso internacional en valencia España
• apoyo económico para manutención a elias Ramírez con el fin de asistir a congreso internacional aedem en valencia España
• gastos de manutención y transporte a julio cesar quintero para desplazamiento a Cartagena con el fin de asistir
• viáticos y pasajes terrestres para participar en la conferencia on aplications in computacional
• pasajes terrestres en la ruta neiva-bogota-neiva con el fin de participar como ponente en congreso
• pasajes terrestres en la ruta neiva-bogota-neiva con el fin de participar como ponente en congreso
• viáticos para asistir al congreso of body image y healt a realizarse en la universidad de Almería
• viáticos para participar en el ii simposio internacional universitario de editoracao científica
• viáticos y pasajes terrestres con el fin de asistir al seminario de investigación en políticas 
• apoyo económico para inscripción con el fin de participar en el curso oficial psa inocuidad 
• viáticos con el fin de asistir como ponente al v simposio internacional de educación ridectei
• apoyo económico de manutención para diego German quintero quien participara en x congreso del hemisferio sur
• excd. facien - capacitación individual docente para angela gorety garcia quien participara en marco de proyecto en reino unido
• viáticos para participar en el 19h anual conference new cardiovascular horizons
• viáticos y pasajes terrestres para asistir a i encuentro regional de visibilidad
• viáticos con el fin de participar en capacitación que se llevara a cabo en el reino unido
• excd. fed - viaticos con el fi de realizar ponencia internacional en la xii conferencia de investigadores
• viáticos y pasajes terrestres con el objeto de participar en ix congreso internacional de derecho procesal
• apoyo para gastos de manutención para participar como ponente internacional en la xii conferencia de investigadores europeos
• apoyo económico para inscripción con el fin de participar en el xii congreso de anestesiología
• viáticos con el fin de asistir a actividades de la red internacional de postgrados en comunicación
• viáticos con el fin de participar en la tercera conferencia regional de educación
• inscripción para participar como ponente en el marco del xxxii congreso anual de aedem
• viáticos e inscripción con el fin de participar en el xiii congreso colombiano de neumología 
• viáticos con el fin de participar en congreso de energías renovables
• apoyo para manutención, transporte y manutención a Mauricio Penagos
• viáticos con el fin de asistir como invitada a representar la universidad surcolombiana
• viáticos para participar como ponentes en el ix congreso internacional de psicología y educación
• viáticos y pasajes terrestres para asistir al encuentro de matemáticas 
• excd. fea - viáticos con el fin de participar en el ii curso avanzado en economía para profesores
• viáticos y transporte a Bogotá a docente Rodrigo charro Tovar con el fin de asistir a encuentro de matemáticas
• viáticos con el fin de participar en el curso de investigación científica 
</t>
  </si>
  <si>
    <t xml:space="preserve">• Elaboración de banner de inscripción Interlingua para docente para el 2do semestre del año, Mayo. Soporte: Piezas comunicativas.
• Procesos de inscripción. 31 de mayo al 22 de junio. Soporte: Correos de convocatoria.
• Consolidado inscritos. 23 de junio al 31 de julio de 2018. Soporte: Excel inscritos.
</t>
  </si>
  <si>
    <t xml:space="preserve">• Actividad académica remunerada denominada “Jornada internacional de juventud y comunicación para el cambio social” que consto del desarrollo tres (03) talleres a realizarse del 25 al 27 de abril de 2018.  </t>
  </si>
  <si>
    <t xml:space="preserve">• Elaboración matriz de contraste Evaluación docente   Mayo de 2018. Soporte: Documento adjunto enviado y socializado con comisión del académico Evaluación Docente
• Reunión ELABORACIÓN PLAN DE TRABAJO EVALUACIÓN DOCENTE 06 de junio de 2018. Soporte: Acta de Reunión con  la comisión del académico Evaluación Docente
</t>
  </si>
  <si>
    <t xml:space="preserve">• Revisión del Informe de Autoevaluación con fines de Renovación de la Acreditación del programa de Administración de Empresas. Se desarrolló una revisión general del documento, específicamente lo relacionado con la estructura y contenido acorde con la Guía para la Renovación de la Acreditación de Programas Académicos de Pregrado N°4 – CNA. 2, 3 y 4 de abril de 2018. 
• Diseño de Taller para el programa de Ingeniería Civil con la respectiva solicitud de insumos documentales y numéricos. La organización de este taller se realizó con base en el Decreto 1075 de 2015 que compiló el Decreto 1295 de 2010.  2 de abril de 2018.
• Participación de Reunión equipo de trabajo de la Oficina de Aseguramiento de la Calidad Tema: Instrumentos de Percepción. Asesoría profesor William Sierra, profesor Programa de Sicología. En esta oportunidad se presenta propuesta elaborada por Leidy y Roció y como modelo se socializan dos propuestas de instrumentos (Directivos y Administrativos) de los Lineamientos Acreditación de Programas. Como recomendaciones el profesor William sugiere discriminar las preguntas propuestas en los instrumentos de percepción de acuerdo a categorías de análisis y términos que contiene el aspecto). 5 de abril de 2018.
• Revisión y sugerencias al Informe de Autoevaluación con Fines de Renovación de Registro Calificado del Programa de Licenciatura en Matemáticas. Entre otras recomendaciones se sugirió verificar la correspondencia entre las acciones planteadas en el Plan de Mejoramiento con lo evaluado en las condiciones.  10 de abril de 2018.
• Elaboración Informe sobre Precisiones para radicación de Documentos de Renovación de Registro Calificado: Derecho, Licenciatura en Literatura y Lengua Castellana y Psicología, de acuerdo a las orientaciones dadas por la Doctora Andrea Milena Silva, secretaria de la sala de CONACES – MEN. 13 de abril. Respecto a este mismo tema, el día 16 de abril. 
• Estudio plataforma SACES para radicar información pertinente a los procesos de autoevaluación con fines de acreditación. Estudio información de cuadros maestros solicitados por la plataforma de SACES – CNA. 12, 13, 16 y 17 de abril
• Revisión información radicada en plataforma SACES por el programa de Administración de Empresas respecto al proceso de Autoevaluación con fines de Renovación de la Acreditación. 24 de abril
• Revisión documento denominado Guía de Autoevaluación de Programas de Pregrado Usco, específicamente de los capítulos asignados por el jefe de la Oficina. 26 de abril   
• Acompañamiento en la etapa final de radicación de información Plataforma SACES - CNA por el Programa de Administración de Empresas con integrantes Comité de Autoevaluación y cierre del procedimiento en la plataforma. 27 de abril.
• Revisión Documento Maestro programa de Licenciatura en Literatura y Lengua Castellana y envío de comentarios de la versión final del documento. 3 de mayo.  
• Previo a la radicación del Documento se advierte al Programa la falta de evidencia de algunos acuerdos de la reforma curricular, por ejemplo, el Acuerdo 274 del 3 de noviembre de 2016 de Consejo de Facultad y el Acuerdo 076 de 2018 (página 5). 7 de mayo
• Revisión insumos documentales y numéricos para Taller de Autoevaluación con fines de Registro Calificado. Programa Ingeniería Civil. Documental: Investigación se solicita para este insumo las reformas sobre políticas institucionales sobre investigación, políticas de Semilleros de Investigación (en caso que existan nuevas) y políticas sobre estímulos académicos para los estudiantes vinculados a procesos investigativos. Se envía insumo documental corregido. Numéricos: Admitidos. 7 de mayo
• Diseño Taller de Autoevaluación con fines de Renovación de Acreditación Programa de Ingeniería Agrícola previsto para el día 5 de junio. Este taller se diseñó abordando 4 Factores. Se hizo la selección previa de preguntas con sus respectivos insumos documentales y numéricos. Factor 4 Procesos Académicos, Factor 7. Bienestar Institucional y Factor 8. Organización, Administración y Gestión y Factor 10. Recursos Físicos y Financieros. Preparación de conceptos. 15 al 18 de mayo 
• Revisión y ajustes insumos documentales para Taller de Ingeniería Agrícola que se realizará el 5 de junio en la identificación de textos de juicios de valor sobre los factores en correspondencia con las preguntas formuladas. 30 de mayo
• Jornada de Trabajo Oficina de Aseguramiento de Calidad. Temas: 1) MIPG, 2) Objetivos del Desarrollo Sostenible 3) Seminario de Planeación Estratégica, 4) Responsabilidades de Planeación y Oficina de Aseguramiento frente a los Sistemas de Información.  31 de mayo
• Revisión insumos numéricos para Taller de Ingeniería Agrícola que se realizará el 5 de junio se recomienda para su ajuste señalar el año que corresponde la información. 31 de mayo 
• Presentación al Equipo de Trabajo y los profesores William y Roberto, profesores invitados del programa de Sicología, las preguntas propuestas para los instrumentos de percepción de acuerdo a categorías de análisis y términos que contiene el aspecto. De este trabajó me correspondió presentar la mitad de las preguntas (17 aspectos de la característica 5 a la 19. 31 de mayo
• Clasificación y selección final de insumos documentales y numéricos organizados en tres grupos de trabajo para los tres talleres simultáneos para el Programa de Ingeniería Agrícola que se llevaran a cabo el día 5 de junio de 2018:
1 Grupo: Factor 4. Procesos Académicos. (Características de la 16 a la 19). I Parte
2 Grupo: Factor 4. Procesos Académicos. (Características de la 20 a la 26) II Parte  
3 Grupo: F7. Bienestar Institucional, F8. Organización, Administración y Gestión y F10. Recursos Físicos y Financieros. 
• Elaboración de las tres presentaciones como material de apoyo entregado al Programa de Ingeniería Agrícola para que realicen la introducción de los talleres en cada uno de los salones que les correspondió. El Programa se compromete a garantizar la participación de los estudiantes y docentes como también al aspecto logístico. 1 de junio
• Acompañamiento a los Talleres del Programa de Ingeniería Agrícola correspondiente a 4 Factores. 5 de junio 
• Preparación exposición del ámbito jurídico correspondientes al Seminario - Taller “Direccionamiento Estratégico con énfasis en Aseguramiento de la Calidad” con el profesor Diego Morales del Programa de Derecho. 5 de junio
• Participación Reunión Programa de Licenciatura en inglés. Tema: Proceso Renovación Acreditación y Renovación Registro Calificado. Plan de Mejoramiento. 5 de junio
• Preparación de diapositivas y material de apoyo para exposición del ámbito jurídico del Seminario Taller “Direccionamiento Estratégico con énfasis en Aseguramiento de la Calidad”. 6 de junio
• Participación reunión Decanatura FEA, programas de la Facultad de Economía y Administración. Temas Agenda: 1. Respuesta al MEN respecto a los planes de contingencia de los Programas de Administración Financiera, Tecnología en Gestión Financiera y Contaduría Pública sede Garzón. 2. Tiempos de Radicación para renovación de los Registros Calificados de los Programas de Administración de Empresas en Neiva, Garzón, Pitalito y La Plata. 3. Visita de Pares para la Renovación de la Acreditación del Programa de Administración de Empresas. 6 de junio
• Revisión y estudio del documento: “Referentes de Calidad: Una propuesta para la Evolución del sistema de aseguramiento de la calidad”. MEN. 11 de junio
• Participación Visita de Pares Académicos para los Programas de las cinco Especialidades Médicas: Especialidad en Pediatría; Especialidad en Anestesiología; Especialidad en Cirugía General; Especialidad en Ginecología y Especialidad en Medicina Interna con fines de Condiciones Iniciales. 14 de junio.  
• Participación reunión de trabajo en el marco del Proceso de Renovación Acreditación del Programa de Administración de Empresas y Registros Calificados por extensión. 21 de junio
• Elaboración consulta que se dirigiría al MEN sobre renovación de registro calificado para los programas en extensión, luego de diferentes discusiones se retoma una consulta anterior y se decide enviar solicitud de ampliación al MEN. 21 de junio
• Socialización respuesta sobre el proceso de verificación de condiciones iniciales específicamente para el programa de Enfermería. Comunicación enviada a la profesora Celmira, Jefe de Programa Enfermería. 22 de junio
• Participación reunión Decanatura de la Facultad de Salud. Tema:  Requerimiento Información - Especialidades Clínicas como resultado de la visita de pares para Condiciones Iniciales de las Especialidades Clínicas, quedaron una serie de requerimientos que deben ser enviados a los consejeros del CNA:
 Lista de profesores con tipo de vinculación (USCO y Hospital).
 Presentación de cada programa con fortalezas y oportunidades de mejora.
 Producción intelectual sólo nuevo conocimiento (Libros, Capítulos de Libros, entre otros).
 Relación de convenios con desarrollo de productos en Coautorías.
 Plan de Mejoramiento Institucional y de cada programa. 22 de junio
• Participación reunión equipo de trabajo de aseguramiento de la calidad para establecer criterios de presentación de los requerimientos del MEN a las Especialidades Clínicas. Me asignan hacer el acompañamiento a la Especialización en Cirugía General. 22 de junio
• Jornada de trabajo con el Dr. Rolando Medina, Coordinador de la Especialización en Cirugía General con el fin de responder al requerimiento del CNA – MEN. Oficina de Posgrados (Piso 4 del Hospital). 25 de junio 
• Continuación del trabajo de la contestación del Requerimiento de la Especialización en Cirugía General. 26 de junio
• Lectura y comentarios al documento sobre la introducción de la respuesta a lo solicitado por el MEN a las especialidades médicas enviado por el jefe de la dependencia. 26 de junio
</t>
  </si>
  <si>
    <t xml:space="preserve">
• Durante el transcurso del mes de abril y mayo se continuo con el acompañamiento pedagógico que se realiza a los estudiantes de primer semestre, este comprende la realización de una reunión semanal de los monitores con los estudiantes del programa al cuál desarrollaba el seguimiento, en esta asesoría se fortalecía el proceso y se analizaba el progreso de cada uno de los estudiantes. 
• En paralelo a las asesorías, los monitores debían realizar el respectivo diligenciamiento de los formatos de seguimiento partiendo de lo trabajado semanal realizado en las asesorías. Por parte de la coordinación se realizó la revisión de esta documentación, además de atender los diversos retos que se presentaban.
• Se elaboró la propuesta de implementación del proyecto Semestre Cero para las sedes de la institución, aquí se planteó la proyección logística y presupuestal.
• Se realizó la sistematización de las 1000 bitácoras de seguimiento diligenciadas en el primer semestre del Año 2017.
• Revisión de los formatos en digital de los 28 programas académicos, esto los debían diligenciar los monitores con la información de las asesorías realizadas. Revisión de módulos de Comprensión de Lectura y Matemáticas para su posterior impresión.
• Recolección de materiales entregados a los monitores del programa de Física y licenciatura en matemáticas.
• Recolección de formatos de asistencia de las asesorías desarrolladas por los monitores durante el transcurso del semestre.
• Sistematización de las asistencias y formatos de las asesorías desarrolladas en el transcurso del semestre. 
• Se realizó reunión de cierre con los monitores del programa de Licenciatura en Literatura y Lengua Castellana, Licenciatura en matemáticas y física que integran el programa Semestre Cero, en esta se evaluaron las debilidades, fortalezas del programa de aprestamiento.
• Filmación de memorias del proyecto semestre cero, esta se desarrolló con monitores y estudiantes de primer semestre.
</t>
  </si>
  <si>
    <t xml:space="preserve">• Desarrollo de los Talleres Saber Pro en Competencias Genéricas, bloque 1 y 2. 
• Seguimiento y control del desarrollo de los talleres: Aplicación de registros de asistencias, entrega de módulo, formato de entrega de módulo y atención al público.
• Sistematización de los registros de asistencias a los talleres Saber Pro 2018.
• Actividades Académicas Remuneradas de los profesores Saber Pro 2018.
• Análisis exploratorio del desempeño de los estudiantes de las Programas Académicos de la de la Universidad Surcolombiana en la prueba Saber Pro.
• Generación certificados de estudiantes y certificado de horas a profesores.
• Elaboración de informes y comparativos de los resultados Saber Pro 2017.
• Construcción y aplicación de prueba virtual en 4 de las 5 competencias a los estudiantes que asistieron a los talleres Saber Pro 2018.
• Construcción y aplicación de una evaluación virtual de los talleres.
• Análisis de la prueba virtual y evaluación de los talleres.
• Presentación informe ante el consejo académico. 
• Reunión y socialización de las generalidades del cierre de talleres con el equipo Saber Pro.
</t>
  </si>
  <si>
    <t>• Se realizó acompañamiento a estudiantes en riesgo alto de abandono. Soporte: Registro de seguimientos, que reposa en el archivo de consejerías académicas.
• Se realizó acompañamiento técnico al Comité Interinstitucional para la permanencia, retorno y graduación el estudiantado indígena de la Universidad Surcolombiana. Soporte: Listado de asistencia y acta que reposa en el archivo de la vicerrectoría académica.
• Acompañamiento técnico docentes consejeros del programa de derecho. Soporte: Material de divulgación de rutas de atención. (Ver carpeta de soportes digital).
• Redacción de propuesta de modificación del capítulo VIII Consejerías Académicas del
• Manual de convivencia, en el que se propone un lineamiento para su funcionamiento, así como, para la selección de docentes consejeros/as. Así mismo se asistieron a reuniones de socialización y retroalimentación del documento con el equipo designado para la revisión del Manual de Convivencia.
• Durante todo el día 11 de abril, se desarrolló mesa de trabajo ampliada del comité Interinstitucional para la permanencia, graduación y retorno del estudiantado indígena, con el fin de realizar propuestas a desarrollar en el documento de propuesta de Política de Inclusión de la universidad surcolombiana, contando con el apoyo del CRIHU y sus asesores en etnoeducación, así como la participación activa del CIUSCO. Soporte: Listado de asistencia que reposa en el archivo de la vicerrectoría académica.
• Socialización de información referente a la convocatoria del fondo de relación de víctimas. Se hizo un importante esfuerzo de convocatoria para brinda la información, así como un ejercicio de divulgación de elementos relevantes de la convocatoria. Así mismo, se acompañó a cada uno de los estudiantes en el proceso de realización de inscripción. Soporte: Correos electrónicos y piezas comunicativas (ver carpeta de soportes digitales).</t>
  </si>
  <si>
    <t xml:space="preserve">• Se Proyecto Educativo Universitario PEU, se privilegiaron las siguientes categorías: Democracia Deliberativa, Calidad Académica - evaluación (formación), ética cívica - convivencia y bienestar; como ejes rectores y transversales del Manual de Convivencia. 
• De acuerdo a lo anterior se abordaron durante el semestre I de 2018, las categorías de Democracia Deliberativa y ética cívica. Por medio de talleres dirigidos a estudiantes de cada una de las categorías y en cada una de las Facultades y las sedes de la Universidad Surcolombiana.
</t>
  </si>
  <si>
    <t xml:space="preserve">• Jornada de trabajo para revisión y ajustes del plan de mejoramiento institucional – plan de seguimiento. 02 de abril
• Construcción de la matriz propuesta para la evaluación del plan de seguimiento al plan de mejoramiento institucional. 02 de abril
• Revisión con la profe Yamile para seguimiento al plan de mejoramiento institucional. 04 de abril
• Consolidación de información de caracterización de IES Públicas, en formato enviado por la universidad tecnológica de Pereira. 05 - 10 de abril
• Consolidación de documento e información de dedicación docente de profesores del programa de la licenciatura en matemáticas. 06 de abril   
• Construcción de propuesta de reactivos a los aspectos de percepción del lineamiento de acreditación para programas de pregrado. 10 de abril
• Construcción de normograma oficina de aseguramiento de la calidad en lo que respecta a registros calificados y acreditación de programas y acreditación institucional. 13 – 20 de abril
• Consolidación de respuesta a solicitud de estudiante del programa de derecho sobre deserción y matriculados 2018-1. 13 – 17 de abril
• Reunión sobre índice de inclusión en la vicerrectoría de investigación y proyección social, con delegado del Ministerio de Educación Nacional para socialización de informe de la fundación Concha Saldarriaga y organización de cronograma de trabajo para revisión y ajustes a plan de mejoramiento. 20 de abril
• Revisión con Juan David de la propuesta de política de regionalización proyectada por el jefe Carlos Ardila. 20 de abril
• Elaboración de documento modelo de presentación y primera parte a los documentos maestros para Registro Calificado según Universidad del Valle y Tecnológica de Pereira. 23 abril
• Revisar a justar documento denominado Sistema de Aseguramiento de la Calidad proyectado por el jefe Carlos Ardila. 23 – 24 de abril
• Paginación de documento maestro renovación de registro calificado del programa Maestría en Educación y Cultura de Paz. 24 de abril
• Lectura y comentarios a los dos documentos de autoevaluación del programa de Ciencia Política y remisión al jefe Carlos Ardila. 25 de abril
• Reunión equipo de trabajo para seguimiento a plan de acción de la oficina de aseguramiento de la calidad y entrega de informe verbal de los avances en las tareas asignadas. 26 de abril
• Reunión con el programa de Psicología para organización de visita de pares, con equipo de trabajo oficina de aseguramiento de la calidad. 26 de abril
• Reunión en Hospital Hernando Moncaleano Perdomo en 4to piso para organización y preparación de visita de pares frente a condiciones iniciales de los 5 programas de especialidades médicas para acreditación. 27 de abril
• Actualizar informaciones estadísticas básicas de matrícula a mes de abril de 2018, e incluir estadísticas por género histórica de 2011 a 2018. 27 de abril
• Consolidación normatividad con la matriz normativa construida por el profe Carlos Ardila. 09 de mayo
• Reunión para consolidar la propuesta de Instrumento de percepción de acreditación institucional. 09 de mayo
• Participación Seminario Taller de Planeación Estratégica con énfasis en Aseguramiento de la Calidad. 10 de mayo   
• Reunión con VIPS y Dirección de Biblioteca para revisar el Plan de Mejoramiento Institucional en los proyectos a su cargo. 11 de mayo
• Capacitación Ambiental. 11 de mayo
• Participación I Encuentro de Graduados. 11 de mayo
• Remisión de información Docentes Acreditación Institucional a doña Lilia Santofimio, para la consolidación de Respuesta al MEN. 15 de mayo
• Revisión y ajuste cuadro de seguimiento proyecto 4.1 plan de desarrollo Subsistema de Formación. 25 de mayo
• Remisión de información Docentes Acreditación Institucional a la División Financiera. 25 de mayo
• Proyección oficio al CTIC para solicitar usuario diferentes módulos del sistema de información de la USCO. 28 de mayo
• Reunión indicadores INES en la vicerrectoría académica con Juan David Garzón. 29 de mayo
• Reunión con el equipo de trabajo del seminario de planeación estratégica para construir la propuesta de análisis del entorno demográfico (Juan David Garzón y Elena Sánchez Vera). 30 – 31 de mayo.
• Reunión con Vicerrector Académico de la Universidad de la Amazonía para compartir experiencias del proceso de Acreditación Institucional y la cultura de la autoevaluación de la USCO. 30 de mayo
• Revisión de metas del Plan de Desarrollo y leer encuesta de ASCUN Agenda 2035 para hacer los comentarios respectivos. 30 de mayo
• Reunión con oficina de planeación y Aseguramiento de la Calidad en Hotel los Rosales, para trabajar en la revisión de los Objetivos del Desarrollo Sostenible, el MIPG, Encuesta de ASCUN agenda 2035 y Seminario de planeación estratégica. 31 de mayo
• Reunión de trabajo con Juan David Garzón para organizar presentación seminario de planeación estratégica. 01 de junio
• Reunión con Andrea Castiblanco para organizar información de Acreditación de programas en los cuadros denominados “Infografía de Programas” 01 de junio
• Consolidar la matriz de reactivos de los instrumentos de percepción con la escala de valoración respectiva. 01 de junio
• Realizar lectura y observaciones al documento remitido por la oficina asesora de planeación “Objetivos de Desarrollo Sostenible”. 01 de junio
• Reunión con el profe Carlos Ardila y con la Biblioteca para continuar con la propuesta de estructura funcional acorde al plan de mejoramiento institucional. 06 de junio
• Visita de PARES Especialidades médicas. 14 de junio
• Organizar en limpio borrador de instrumento de percepción para Acreditación Institucional. 14 de junio
• Reunión en Oficina Asesora de Planeación para tratar Decreto 612 de 2018. 15 de junio
• Consolidar información de la ficha de caracterización remitida por la Red de Universidades del Alto Magdalena. 15 de junio
• Reunión en la facultad de salud con los coordinadores de las especialidades médicas para definir cronograma de trabajo para responder a requerimiento del CNA. 22 de junio
• Construir plantilla modelo para responder requerimiento de las especialidades clínicas, como base para la reunión el lunes 25 de junio en el Hospital con los coordinadores de los programas. 22 de junio
• Reunión con coordinadores de las especialidades, apoyar específicamente al Dr. Giovanni Caviedes y Giovani Lastra, para la consolidación de la información para dar respuesta al requerimiento de la especialidad de Medicina Interna ante el CNA. 25 - 26 de junio
• Subir en la plataforma de estudios previos el CDP del PY 4.1 a los compañeros del grupo de subsistema de aseguramiento de la calidad. 25 de junio
• Reunión de Indicadores de Inclusión, con la vicerrectoría administrativa y la vicerrectoría académica. 25 de junio
• Leer documento complemento requerimiento de Especialidades Médicas y hacer los comentarios respectivos y enviar a acreditación para consolidación con otros programas. 26 de junio  
</t>
  </si>
  <si>
    <t xml:space="preserve">• Trámites para continuidad de la realización de Judicaturas en la Universidad Surcolombia, que se venían realizando en el 2018
</t>
  </si>
  <si>
    <t xml:space="preserve"> RESUMEN BOLSA DE EMPLEO AÑO 2018
• EMPLEADORES INSCRITOS 2018: 42
• OFERTAS VACANTES 2018: 78
• HOJAS DE VIDA REGISTRADAS 208: 545
• CONTRATADOS 2018: 12
</t>
  </si>
  <si>
    <t xml:space="preserve">• Se asistió a todas las reuniones programadas  por rectoría vicerrectoría académica y demás dependencia  (anexo documentación)
• Se recepcióna la documentación de los convenios  que se realizan con la universidad  como el  de la cruz roja  y el de BODYTECH (se anexo documentación )
• Se  hicieron 679 carnet para los grados del día 23 febrero del presente año(anexo imagen fotográfica )
• Se  recepción y se da respuesta  a los oficios recibidos   de la oficina tanto físico como virtual (se anexa documentos y pantallazos)
• Asesoría y acompañamiento a las facultades  en el tema de  acreditación y renovación de registro calificado   
• Coordinación del primer encuentro de graduados  destacados de la universidad para el día 
</t>
  </si>
  <si>
    <t>Se adquirieron 3 equipos para la investigación:
1. Computador portátil HP ProBook 440 G4, Intel CoreTM ¡5- 7200U, WindowsR 10 Profesional 64, No, RT bgn 1x1 +BT 4.0 WW, 4GB (1X4GB) 2133 DDR4, HDD 1TB 5400RPM SATA, LCD 14 HD AG LED SVA Fhdc Slim 1 Ant, No ODD, 1/1/0
2. Video proyector Epson Power Lite S31+ Tecnología: 3LCD Luminosidad: 3200 lumens Resolución: SVGA 800X600 Contraste: 15.000:1 Vida útil: 5000 Horas Normal, 10.000 Horas ECO Distancia de Proyección: 0,88 - 10,44 m Apertura de pantalla: 23" - 350" Conectividad: HDMI, VGA, USB Tipo A, USB Tipo B, RCA, S-Video, Parlante 2W Características Especiales: LAN inalámbrica IEEE 802.11b/g/n (Accesorio opcional)
3. HP Multifuncional LaserJet Color M477FDW MFP DUPLEX Multifuncional B/N y Color 218ppm Fax - Escáner - Copia impresioón 300 hojas - ciclo máximo de trabajo hasta 50.000 páginas volumen recomendado mensual de 750 a 4000 páginas reemplazo de la m476 DW</t>
  </si>
  <si>
    <t>Se renovaron 7 licencias de bases de datos para la investigación:
1. Colección Freedom de Science Direct
2. Clinics
3. Embase
4. Compendex
5. Scopus
6. Reaxys
7. Colección de Libros Electrónicos Legacy
Se realizó compra de 1 licencia:
8. Software E-prime, licencia académica perpetua, Windows</t>
  </si>
  <si>
    <t>Se está apoyando a la formación de alto nivel de 17 docentes:
1. Cristian Arnoldo Ramírez Castrillón - Doctorado en Estudios Territoriales Universidad de Caldas
2. Eduardo Plazas Motta - Doctorado en Educación en la Universidad de Deusto, Bilbao-España
3. Elías Francisco Amórtegui Cedeño - Doctorado en Didáctica de las Ciencias Experimentales en la Universidad de Valencia, España
4. Germán Darío Hembuz Falla - Doctorado en Ciencias Sociales, Niñez y Juventud Fundación Centro Internacional De Educación Y Desarrollo Humano – CINDE
5. Germán Fabián Escobar Fiesco - Doctorado En Matemática Aplicada en la Universidad de Sao Paulo Brasil
6. Jenny Liseth Avendaño López - Doctorado en Ciencias Sociales, Niñez y Juventud Fundación Centro Internacional De Educación Y Desarrollo Humano – CINDE
7. José Jardani Giraldo Uribe - Doctorado en Desarrollo Sostenible Universidad de Manizales
8. Julio Roberto Jaime Salsa - Doctorado en Ciencias Sociales, Niñez y Juventud Fundación Centro Internacional De Educación Y Desarrollo Humano – CINDE
9. Luis Alfredo Muñoz Velasco - Doctorado en Desarrollo Sostenible Universidad de Manizales
10. Mauricio Penagos - Doctorado en Educación Matemática, Universidad Antonio Nariño – Bogotá
11. Nercy Gutiérrez Cardoso - Doctorado en Ciencias de la Educación, en la Universidad del Quindío
12. Zully López Cuellar - Doctorado en Didáctica de las Ciencias Experimentales en la Universidad de Valencia, España
13. Patricia Gutiérrez Prada - Doctorado en Modelado en Política y Gestión Pública en la 
Fundación Universidad de Bogotá Jorge Tadeo Lozano
14. Francisco José Muñoz Ordoñez - Doctorado en Agroindustria y Desarrollo Agrícola Sostenible en la Universidad Surcolombiana
15. Alberto Ducuara Manrique - Doctorado en Agroindustria y Desarrollo Agrícola Sostenible en la Universidad Surcolombiana
16. José Leonardo Ruiz Méndez -  Doctorado en Educación y Cultura Ambiental en la Universidad Surcolombiana
17. Ruben Darío Valbuena Villareal - Doctorado en Agroindustria y Desarrollo Agrícola Sostenible en la Universidad Surcolombiana
18. Fernando Galindo
19. Sonia Amparo Salazar
20. Lisseth Sugey Rojas</t>
  </si>
  <si>
    <t>Se encuentra actualmente en 60% el proceso de actualización de las bases de datos con indicadores de acreditación institucional</t>
  </si>
  <si>
    <t>Se están apoyando 11 proyectos (SI-PY1.5 Y SI-PY4.1 Van unidos):
1. Reconstrucción de los itinerarios terapéuticos de las mujeres con cáncer de mama para la reconstrucción de los senos en la ciudad de Neiva (Huila)
2. Desarrollo de un nuevo producto a base de tilapia (Oreochromis SP) mediante la aplicación de métodos de salado-ahumado al vacío
3. Proyecto de menor cuantía "niveles de interferón gamma y citocinas pro-inflamatorias en lavado bronco alveolar de pacientes adultos con sospecha de tuberculosis"
4. Proyecto de mediana cuantía la permanencia y el abandono estudiantil, fisuras para la escuela de la paz, equidad, la reconciliación y el ejercicio de los DDHH, en marco del posconflicto
5. Proyecto mediana cuantía correlatos neurofisiológicos del procesamiento emocional de los perfiles clínicos de niños vinculados al acoso escolar
6. Proyecto estudio de la fricción de la mecánica cuántica
7. Calidad de vida y aspectos psicosociales en una muestra de pacientes diagnosticados con síndrome de fibromialgia en las ciudades de Neiva y Tunja
8. La autonomía universitaria de las universidades públicas frente al derecho administrativo
9. Justicia distributiva y restaurativa en el marco de la justicia transicional Colombia en el periodo 2010-2015
10. Mecanismos de justicia transicional en clave de transversalidad e integralidad con perspectiva de enfoques diferenciales
11. La ecuación de continuidad y su significado en los diferentes contextos de la física</t>
  </si>
  <si>
    <t>Se ha logrado un avance del 50% del total del proyecto, según informe de avance.</t>
  </si>
  <si>
    <t>Se lograron 3 nuevas patentes:
1. Proceso para el tratamiento de la vinaza
2. Aparato de transmisión giro avance perpendicular
3. Software para el cálculo de reactividad usando función matricial, protección por derecho de Autor 
En estos momentos hay 4 patentes en trámite:
1. Acondicionador orgánico mineral- inteligente
2. Sistema y métodos para la determinación del contenido de carbohidratos de alimentos Individuales o menús compuestos y la estimación de bolos de insulina
3. Rampa Orotraqueal
4. Recolector de agua lluvia portátil totalmente desmontable
Existe 1 nueva posible patente por iniciar trámite:
1. Brazalete de detección de sonidos de alarma para personas sordas e hipoacúsicas</t>
  </si>
  <si>
    <t>Se han realizado 5 talleres:
1. Taller: La Carpintería de la Escritura para la Investigación” para el desarrollo del curso corto en “DATA SCIENCE FUNDAMENTAL”
2. Taller: La Carpintería de la Escritura para la Investigación para el desarrollo del curso corto en “RECONOCIMIENTO DE PATRONES Y MACHINE LEARNING, APLICADO A META-ANALISIS Y VARIABLES MULTIDIMENSIONALES EN BIG DATA”
3. Taller: La Carpintería de la Escritura para la Investigación” para el desarrollo del “TALLER DE ORTOGRAFIA BASICA
4. Taller: La Carpintería de la Escritura para la Investigación” para el desarrollo del “TALLER CARPINTERIA DE LA ESCRITURA PARA LA INVESTIGACIÓN NIVEL I”
5. Taller: La Carpintería de la Escritura para la Investigación” para el desarrollo del “TALLER CARPINTERIA DE LA ESCRITURA PARA LA INVESTIGACIÓN NIVEL II”</t>
  </si>
  <si>
    <t>Se apoyó a la formulación, ejecución y/o divulgación 20 eventos académicos: 
1. Evento nacional IV encuentro de la Asociación Colombiana de Inmunología (ACOI)
2. Segunda Asamblea General de la Red de Investigación en Enfermedad Cardiovascular, Barranquilla
3. Seminario Congreso Gestión Documental, Bogotá
4. Evento Internacional Encuentro Misión REDCOLSI Nodo Huila Programa Gestores del Conocimiento Sao Paulo - Rio de Janeiro
5. Asamblea nacional de afiliados COTELCO de 2018, Neiva
6. Evento Taller Diseño del sistema de seguimiento y evaluación de la extensión universitaria de la asociación colombiana de universidades y la red nacional de extensión universitaria de ASCUN, Bogotá
7. 31a Feria Internacional del Libro, Bogotá
8. Evento EAFIT innovadora, Medellín
9. XII feria de internacionalización UD, Bogotá
10. Congreso Latinoamericano y del Caribe de Ingeniería Agrícola, San José Costa Rica
11. Segundo foro universitario de ética: ¡a la mierda las elecciones! desafección política del joven universitario – Neiva
12. Evento “LA EDUCACIÓN, CULTURA Y POLÍTICA PÚBLICA COMO FACTORES DE DESARROLLO EN SAINT QUENTIN, FRANCIA. UNA MIRADA DESDE LA POLÍTICA PÚBLICA”, FRÉDÉRIQUE EMMANUELLE, MARTINE MULLIEZ ÉP MACAREZ, Neiva
13. XXXII Congreso Anual de la Academia Organizada por la Universidad Politécnica de la ciudad, con la ponencia denominada "gestión del mejoramiento universitario" a realizarse en la ciudad de Valencia España
14. XI Congreso Internacional de Psicología y Educación (cipe 18), ponencia "habilidades básicas de pensamiento espacial y procesos de comunicación en alumnos de prescolar colombianos"
15. Presentación de resultados del proyecto Cacaotic´s que tendrá lugar en la ciudad de Bogotá 
16. XV Foro Internacional sobre la evaluación de la calidad de la investigación y de la educación superior (FECIES) que se llevará a cabo en Santander España, Ponencia "análisis de la implementación NIIF-PYMES sector comercial municipio de Pitalito Huila"
17. 56° congreso internacional de americanistas a realizarse en la ciudad de Salamanca España, Ponencia "el turismo en el desierto de la Tatacoa y su relación con el territorio sostenible"
18. XV foro internacional sobre la evaluación de la calidad de la investigación de la educación superior (FECIES), Santander - España
19. "I Congreso Internacional de mercado financiero y bursátil que se llevará a cabo en Pitalito, 6 ponencias
20. Siglo XXXIII Congreso Anual de AEDEM, en Valencia España</t>
  </si>
  <si>
    <t>Se apoyó en la capacitación y/o participación de los siguientes 2 eventos:
1 - XIX Congreso de la Asociación de Facultades, Escuelas e Instituciones de Derecho de América Latina - AFEIDAL - En la Universidad de ÁNAHUAC en CANCÚN - MÉXICO
2 - XI encuentro de Nodo Centro Red Socio jurídica, en la Institución Universitaria Colegios de Colombia UNICOC, en la ciudad de Bogotá</t>
  </si>
  <si>
    <t>El documento de la política y Plan Estratégico de la Transversalidad en lo Académico ya fueron elaborados, el próximo paso es operativizarlo porque ya fue aprobado por el consejo académico; hay que definir estrategias para implementarlo, se encuentra en un 70% el avance de este proceso</t>
  </si>
  <si>
    <t>Se está apoyando a 8 Grupos de Investigación: 
1. Agroindustria
2. Mi Dneuropsy
3. Unitcom
4. Memoria y Región
5. Parasitología y Medicina Tropical
6. Carlos Finlay
7. Nuevas Visiones del Derecho
8. Dinusco</t>
  </si>
  <si>
    <t>Se está apoyando con la financiación de 11 proyectos de investigación en modalidad trabajos de grado:
1. Evaluación de los parámetros fisicoquímicos de cafés especiales origen Huila y su influencia en la encapsulación y extracción de bebidas de café en máquinas mono dosis comerciales y su aceptación por consumidores
2. Fermentación de pulpa de café mediante inoculación de S. Cerevisiae Var. Ellipsoideos y chaptalización con miel y jugo de caña de azúcar
3. Aislamiento y caracterización del glicolipido mayoritario de la especie Vegetal Ipomoea Purpurea (l) Roth y su evaluación como modulador de resistencia a múltiples fármacos en células cancerígenas
4. Análisis de la participación electoral de los jóvenes del municipio de rivera en elecciones nacionales 2006-2014-2018
5. Proyecto recobro mejorado en crudos pesados evaluación y optimización de la conductividad térmica aplicando calentamiento eléctrico asistido por nano partículas oxido- metálicas
6. “Dinámica para la sostenibilidad y resiliencia del humedal "los colores"" 2018.
7. Introducción a las redes complejas
8. "Aislamiento e identificación de algunos de los metabolitos secundarios de la vitis tiliifolia (agraz) relacionado con la modulación del sistema inmunológico.
9. Micro termometría de la  formación caballos como roca almacén en la subcuenca de Neiva
10. Comportamiento y estrategias electorales del concejo de Neiva entre los años 2003-2015
11. Slavoj Zizek, psicoanálisis, neurociencias y las ciencias de la complejidad</t>
  </si>
  <si>
    <t>Se está apoyando con la financiación de 22 proyectos ejecutados por semilleros de investigación:
1. Proyecto aprendiendo a estudiar las clases en el club de apoyo matemático del Huila "CAMATH"
2. Proyecto evaluación biológica de los extractos del helecho Eupodium Pittueri empleada en el crecimiento del vello facial en el municipio de Acevedo Huila
3. "análisis de los planes, programas y políticas públicas en materia de vivienda a favor de los desplazados en Pitalito (2011-2016)
4. proyecto relación entre proceso, tiempo de permanencia y complicaciones de cateterismo venoso periférico en los pacientes que ingresan al servicio de urgencias de HUHMP"
5. proyecto autonomía alimentaria: vivencias y prácticas tradicionales del pueblo indígena nasa -Huila 2018
6. proyecto significados de autonomía alimentaria y las condiciones necesarias para su desarrollo en una comunidad indígena del pueblo nasa. Huila 2018
7. algoritmo genético y de enjambre
8. caracterización de los síntomas en mujeres con síndrome coronario agudo fundamentado en el modelo conceptual del manejo del síntoma
9. efectos del cambio climático en fuente hídrica rio frio del municipio de Campoalegre (Huila)
10. construcción de percepciones sobre interrupción voluntaria del embarazo durante la formación de pregrado en enfermería
11. análisis de vigas acarteladas y cálculo de la matriz de rigidez por medio de la implementación de las integrales numéricas de los términos de la matriz de flexibilidades en el cas libre máxima
12. análisis de la rigidez lateral de sistemas marco-contraviento y marco-muro por medio de estrategias matriciales basadas en simplificaciones de elementos viga-columnas y modelos de elementos finitos
13. caracterización de los estatutos de posgrados de las universidades publicas hacia una propuesta de regulación de postgrados en la universidad surcolombiana
14. principio de precaución ambiental y compensación ambiental en los mega proyectos de construcción vial habitacional y de desarrollo en Neiva 2010-2017
15. la responsabilidad del estado por ejecuciones extrajudiciales en el departamento del Huila 2002-2017
16. evaluación de parámetros fisicoquímicos y microbiológicos en bebidas fermentada a partir de cereza de café
17. el desarrollo de la agroindustria de post cosecha del café en el departamento del Huila, caso municipio de Teruel
18. análisis de la gestión de la comunicación en las organizaciones públicas del municipio de Pitalito
19. prácticas de resistencia social no violentas por la defensa del territorio en Pitalito y comités de municipios del surcolombiano durante el periodo 2016-2017
20. la construcción de la idea de genero desde las perspectivas de las excombatientes de las farc-ep en la zona veredal de la carmelita en el putumayo
21. estudio cualitativo del modelo matemático de un riñón artificial
22. valoración del sector de media luna, Aipe, Huila como geositio de patrimonio geológico</t>
  </si>
  <si>
    <t>Se está apoyando con la Cofinanciación de 13 Convenios:
1. Convenio 1229-2017
2. Convenio 749
3. Convenio FP44842-401-2017
4. Convenio 132-2017
5. Convenio Acuerdo SUIZA, USCO, SURCHER, SLOWFOOD
6. Convenio FP44842-164-2017
7. Convenio 245
8. Convenio 707
9. Convenio 085 DE 2015
10. Convenio CPIP
11. Convenio Universidad de Barcelona TOINN
12. Convenio No. 001 de 2018 Suscrito entre la Universidad Cooperativa y la Usco
13. Convenio de colaboración entren la Universidad de Hull, Universidad Surcolombiana y Export Pez S.A.S.</t>
  </si>
  <si>
    <t>Se han gestión de 2 proyectos de investigación en cooperación regional nacional y/o internacional:
1 - Caracterización genética de los planteles de reproductores de tilapia roja (Oreochromis spp) de 6 granjas alevineras del Departamento del Huila
2 - Investigación en procesos agrobiológicos para el incremento de la productividad y el mejoramiento de la calidad de los cultivos de cholupa y cacao en los municipios de Algeciras y rivera en el departamento del Huila</t>
  </si>
  <si>
    <t>Se ha realizado actualización de procedimientos del proceso de investigación relacionados a continuación:
1. MI-INV-PR-01 CONVOCATORIAS INTERNAS DE INVESTIGACIÓN Y PROYECCIÓN SOCIAL
2. MI-INV-PR-03 GESTIÓN Y EDICIÓN DE REVISTAS CIENTÍFICAS
3. MI-INV-PR-06 PRODUCCIÓN ACADÉMICA
En la actualidad se está aprobando la creación del procedimiento  y actualización del procedimiento MI-INV-PR-02 ADMINISTRACIÓN TÉCNICA Y FINANCIERA DE PROYECTOS (SEMILLEROS Y GRUPOS) y sus instrumentos. Igualmente se trabaja en la creación del procedimiento de Propiedad Intelectual.</t>
  </si>
  <si>
    <t>Avance del Sistema de Información SIVIPS 
1 - módulo de convocatorias (40%):
Éste contempla configuración de convocatoria, registro de proyectos, evaluación de requisitos mínimos, proceso de reclamaciones, evaluación de pares evaluadores y publicación de resultados finales. A fecha del presente informe se está capacitando a cada una de las facultades en el manejo del mismo.
2 - Módulo Seguimineto (0%)
3 - Módulo FInalización de proyectos (0%)</t>
  </si>
  <si>
    <t>En reunión con la vicerrectora de investigación el día 24 de marzo, se socializaron los proyectos del plan de mejoramiento institucional referentes a la Biblioteca, allí se determinaron los siguientes compromisos:
1. Fuentes de Financiación:
Por parte de Biblioteca se realizaron reuniones con el Dr. Edwin Trujillo, con el fin de consolidar el Centro de Costos para la Biblioteca, basados en los siguientes Acuerdos, los cuales definen la fuentes de financiación para el mismo; Acuerdo 047 de 2012 (Por el cual se establece el valor y los servicios considerados como Derechos Complementarios  de la Universidad Surcolombiana), Acuerdo 016 de 2013 (Por el cual se adopta la política de Desarrollo de Colecciones Bibliográficas del Centro de Información y Documentación) y Acuerdo 055 de 2016 (Por el cual se deroga el Acuerdo 023 de 2011 - Por el cual se compilan y actualizan las normas de creación y de reglamentación de los fondos especiales de las facultades y sedes de Garzón, La Plata y Pitalito de la Universidad Surcolombiana).  Con la finalidad de que todo el material bibliográfico adquirido por la Universidad Surcolombiana, en cualquiera de sus modalidades, ya sea por compra directa de la institución, por facultades, por proyectos de investigación y donación, debe centralizarse en la Biblioteca Central para su registro e ingreso al Sistema Bibliográfico de la Biblioteca.
Por parte de la Vicerrectoría de Investigación y Proyección Social se manifestó que en la propuesta del nuevo estatuto de Investigación y Proyección Social se incluiría un apartado sobre el proceso de adquisición bibliográfica para investigadores, los cuales deberán acogerse a la normatividad interna de la biblioteca, su proceso y procedimientos para poder consolidar las estadísticas de su uso y ser presentadas de acuerdo a los requerimientos de los lineamientos establecidos por el MEN, CNA y CONACES en los procesos de Acreditación Institucional y de programas académicos de la institución. Además de los requisitos del Sistema de Gestión de Calidad y el Modelo Estándar de Control Interno.
2. Actualización Reglamento Interno de la Biblioteca
El Comité Técnico de la Biblioteca, con la colaboración de monitores, el Centro de Graduados y la asesoría de la oficina de Aseguramiento de la Calidad, viene avanzando en la actualización del Acuerdo 048 de 2004, en el cual se contempla la normatividad referente a las nuevas dinámicas en la prestación del servicio.
El Comité Técnico de la Biblioteca con la colaboración de la Oficina de Aseguramiento de la Calidad, está en el proceso de consolidar un proyecto de Estructura Orgánica de la Biblioteca, dado que la vigente es la concebida desde ITUSCO, esto con el fin de presentarlo a la dirección de la institución para actualizarla y modernizarla de acuerdo al PEU, a la nueva Estructura Orgánica de la institución, al nuevo rol y función de las Bibliotecas Universitarias.
La Biblioteca ha realizado un avance de un 70% de lo pertinente a sus tareas, lo faltante queda pendiente a la voluntad y decisión administrativa.</t>
  </si>
  <si>
    <t>Se está apoyando 3 centros de investigaciones:
1. CESURCAFE
2. CESPOSUR
3. CIECE</t>
  </si>
  <si>
    <t>Se han elaborados y desarrollados 2 proyectos con el CDT Minerhuila:
1 - Implementacion de un sistema de recuperación de calor residual para incrementar la eficiencia del proceso productivo de secado de Ladrillera Andina en el municipio de Aipe, Huila.
2 - Implementacion de un modelo de innovacion integral para el aprovechamiento de materiales de excavacion y residuos de construccion y demolicion (RCD´S), en los municipios del departamento del Huila</t>
  </si>
  <si>
    <t>Se ha avanzado en un 70% en el proceso de definir el Plan Estratégico de Ciencia, Tecnología e Innovación y Desarrollo</t>
  </si>
  <si>
    <t>Se ha realizado la diagramación HTML de 186 artículos de 4 diferentes revistas institucionales de la Usco en la página https://www.journalusco.edu.co/:
1 - 82 artículos de la Revista Piélagus
2 - 24 artículos de la Revista Ingeniería y Región
3 - 36 artículos de la Revista RFS
4 - 44 artículos de la Revista Entornos</t>
  </si>
  <si>
    <t xml:space="preserve">Se asistió a la capacitación del evento:
1 - Primer encuentro de visibilidad - bibliotecas y revistas que organiza la universidad autónoma de Bucaramanga y la empresa biteca ltda, sobre innovación en bibliotecas, impacto, visibilidad de las publicaciones, software, indicadores, acceso abierto y otros temas </t>
  </si>
  <si>
    <t>Evaluación de 19 Libro de Investigación, de los cuales cinco libros están diagramados y en fase final de publicación (listos para impresión): 
1.  “Memorias de un barrio en resistencia”.
2. “ETNO MARKETING – la Dimensión cultural del Marketing”.
3. “Nuevos paradigmas del derecho constitucional colombiano”.
4.  “De la memoria de los afectados por el Quimbo para la salvaguardia del medio ambiente y su cultura”.
5. “Determinantes del rendimiento académico en regiones desarrolladas y en desarrollo de Colombia”.
Cinco libros diagramados y en fase final de publicación (listos para impresión): 
6. "¡Este barrio es La Libertad!" Luchas campesinas por el derecho a la ciudad 1960-1984. Fausto Tovar Vargas. 
7. Innovación y reflexiones en la enseñanza de la biología. Una experiencia entre Colombia y España. Elías Amórtegi y Valentín Gavidia (Eds.). 
8. Plantas utilizadas en una comunidad cafetera de Acevedo, Huila. Jeison Rosero y otros. 
9. Transformación del paisaje urbano de Neiva 1930-1960. 
10. Entre la modernidad y la modernización. Rocío Polanía.   
11. "Recordar el futuro. Planificación de la comunicación desde la comunicación", del autor boliviano Adalid Contreras Baspineiro, invitado por la Escuela de Formación Pedagógica.  
12. Impacto del PEI en la docencia, Cuaderno No. 2 de la Escuela de Formación Docente
13. Memorias del V Congreso de investigación en educación en ciencias y tecnología en 2016
14. Entre el deseo y la obediencia, de Alejandro David García Valencia, Amparo Cuenca Wilson y Martha Isabel Barrero Galindo 
15. El quehacer de los maestros en el Huila (1988), de los profesores Diana Patricia Cristancho de Iriarte, Antonio Iriarte, Miguel Tovar y Daniel Yovanovich 
16. La razón vulnerada, Antonio Iriarte
Tres libros evaluados, con primera corrección de estilo y evaluados por pares producto de la convocatoria 2016-2017, que por los procesos de ajuste y tiempos de los autores fueron quedando atrás en el proceso de publicación:
17. Empoderamiento del proceso de enseñanza-aprendizaje del inglés y uso de las TIC. Carlos Muñoz, 
18. Competencias laborales del productor de pasifloras en el Huila. Hernando Gil Tovar y otros; 
19. Estado de cosas inconstitucional en la política pública penitenciaria de Colombia. Jimmy Soto Díaz y María Eugenia Herrera.</t>
  </si>
  <si>
    <t>Se viene trabajando en la consolidación de los procesos editoriales de revistas, mediante la definición de políticas y lineamientos que permitan tener mayor capacidad de indexación en indices y bases de datos nacionales e internacionales. Se crea la politica editorial, El Comité de Producción de Revistas Científicas y la puesta en marcha de sistemas de información como Open Journal Systems (OJS). Finalmente se apoya a cada revista en procesos de maquetación de artículos en diferentes formatos como HTML. Se espera que para la próxima convocatoria Colciencias, La Universidad pueda participar con las 4 revistas más solidas buscando recuperar su indexación en Publindex. Se esperan las próximas convocatorias para poder seguir avanzando</t>
  </si>
  <si>
    <t>Desde el comienzo de la gestión el abogado especialista en Propiedad Intelectual de la Universidad Surcolombiana, Sebastián Puentes, se le encomendó la labor de sacar adelante el Estatuto de Propiedad Intelectual, el cual, a corte de la fecha, se encuentra aprobado por el Consejo Superior Universitario, mediante Acuerdo 014 de 2018. 
En reunión del COnsejo Académico fue aprobado inicialmente, para posterior ser proferio el Acuerdo 104 de 2018 por el Consejo Superior Universitario el 19 de abril de 2018.
Luego de proferido el Acuerdo 014 de 2018, Estatuto de Propiedad Intelectual, se viene trabajando el procedimiento que reglamente el mismo. Por un lado, ya se edificó el ateniente a la propiedad intelectual inicial y el de patentes como tal. Se está trabajando en las demás guías, para lo cuál se han llevado a cabo reuniones con la oficina de comunicaciones para fines del procedimiento en cuanto a marcas.
Se podría decir que el proceso del Estatuto para su aplicación en la Universidad lleva un 98%.</t>
  </si>
  <si>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Apoyo movilidad académica e investigativa y de proyección social de docentes, estudiantes, personal administrativo y graduados, que participan en actividades de internacionalización:</t>
    </r>
    <r>
      <rPr>
        <sz val="11"/>
        <color theme="1"/>
        <rFont val="Calibri"/>
        <family val="2"/>
        <scheme val="minor"/>
      </rPr>
      <t xml:space="preserve">
Se registraron un total de 43 apoyos relacionados a continuación:
1. O.A 001 DE 2018 aprobó el apoyo por valor de $1.000.000, Por concepto de compra de tiquete aéreo internacional.
2. O.A 002 DE 2018 aprobó el apoyo por valor de $1.000.000, Por concepto de compra de tiquete aéreo internacional en la ruta NEIVA-MEXICO-NEIVA, a una estudiante MARIA CAMILA OLIVEROS C.C. 1075305418, VALOR TIQUETE $1.000.000, teniendo en cuenta que fue admitida en la UNIVERSIDAD NACIONAL AUTONOMA DE MEXICO, para realizar intercambio académico durante el semestre 2018-A del 25 de Enero al 16 de Junio de 2018. El avance se realizara con fecha del 16 al 19 de Enero de 2018.
3. O.A 003 DE 2018 aprobó el apoyo por valor de $1.000.000, Por concepto de compra de tiquete aéreo internacional en la ruta NEIVA-MEXICO-NEIVA, a una estudiante CRISTIAN DAVID CAMACHO RODRIGUEZ C.C. 1.075303232, VALOR TIQUETE $1.000.000, teniendo en cuenta que fue admitida en la UNIVERSIDAD NACIONAL AUTONOMA DE MEXICO, para realizar intercambio académico durante el semestre 2018-A del 29 de Enero al 08 de Junio de 2018. El avance se realizara con fecha del 16 al 19 de Enero de 2018.
4. O.A 004 DE 2018 aprobó el apoyo por valor de $1.000.000, Por concepto de compra de tiquete aéreo internacional en la ruta CARTAGENA-BOGOTA-SAO PAULO-NATAL, a un estudiante CESAR ANDRES DIAZ POLO C.C. 1047498940, VALOR TIQUETE $1.000.000, teniendo en cuenta que ha sido seleccionado como beneficiario de la convocatoria de becas BRACOL, para realizar intercambio académico en la Universidad Federal Rio Grande de Norte durante el semestre 2018-A. El avance se realizara con fecha del 19 al 24 de Enero de 2018.
5. O.A 005 DE 2018 aprobó el apoyo por valor de $1.000.000, Por concepto de compra de tiquete aéreo internacional en la ruta BOGOTÁ D. C. – CIUDAD MEXICO – BOGOTÁ D.C., a un estudiante ANDERSON SMITH CABRERA BELTRAN C.C. 1144073753, VALOR TIQUETE $1.000.000, teniendo en cuenta que ha sido seleccionado como beneficiario de la convocatoria de becas MACMEX, para realizar intercambio académico en el Instituto Tecnologico Superior de Tantoyuca durante el semestre 2018-A. El avance se realizara con fecha del 22 al 25 de Enero de 2018.
6. O.A 006 DE 2018 aprobó el apoyo por valor de $1.000.000, Por concepto de compra de tiquete aéreo internacional en la ruta BOGOTÁ D. C. – BUENOS AIRES – BOGOTÁ D.C., a una estudiante JAZMIN YULIETH CUELLAR DIAZ  C.C. 1075309526, VALOR TIQUETE $1.000.000, teniendo en cuenta que ha sido seleccionado como beneficiario de la convocatoria de becas MACA, para realizar intercambio académico en la Universidad Nacional del Litora durante el semestre 2018-A. El avance se realizara con fecha del 23 al 25 de Enero de 2018
7. O.A 010 DE 2018 aprobó el apoyo por valor de $4.000.000, Por concepto de pago de gastos de alojamiento y alimentación al  estudiante THAIS AGUES BARBOSA, de la República Federativa de Brasil, perteneciente a la carrera de Ciencias Biológicas de la Universidad  Federal de Rio Grande del Norte - Brasil,  durante el semestre académico que inicia el 05 de febrero y finaliza el 02 de junio de 2018. El valor correspondiente es de $1.000.000 para cada uno de los meses de febrero a Mayo de 2018.
8. O.A  008 DE 2018 aprobó el apoyo por valor de $4.000.000, Por concepto de pago de gastos de alojamiento y alimentación al  estudiante ISRAEL DIAZ AMADOR, de los Estados Unidos Mexicanos, perteneciente a la Licenciatura en Cultura Física de la Benemérita Universidad Autónoma de Puebla,  durante el semestre académico que inicia el 05 de febrero y finaliza el 02 de junio de 2018. El valor correspondiente es de $1.000.000 para cada uno de los meses de febrero a Mayo
9. O.A 009 DE 2018 aprobó el apoyo por valor de $4.000.000, Por concepto de pago de gastos de alojamiento y alimentación al  estudiante MARCO ANTONIO VICTORIO DE LA CRUZ, de los Estados Unidos Mexicanos, perteneciente a la carrera de Ingeniería Petrolera del Instituto Tecnológico Superior de Tantoyuca,  durante el semestre académico que inicia el 05 de febrero y finaliza el 02 de junio de 2018. El valor correspondiente es de $1.000.000 para cada uno de los meses de febrero a Mayo de 2018.
10. AVANCE No. 011 de 2018 JUNA GUILLERMO BOLIVAR VALDERRAMA
11. COMISION INTERCAMBIO EDUCATIVO ENTRE EEUU Y COLOMBIA BECARIO JEREMY THOMAS DA ROSA
12. AVANCE ALEXANDRA URIBE SANCHEZ Apoyo económico para compra de tiquete aéreo JAZMIN CUELLAR DIAZ  programa Ciencia Política
13. AVANCE No. 023 de 2018 ANGELA MAGNOLIA RÍOS Compra tiquetes aéreos.
14. ORGANIZACIÓN TURISTICA DEL HUILA S.A.S Contrato pasajes aéreos como apoyo a la visibilidad nacional e internacional de la USCO
15. PLAZAS MOTTA EDUARDO Apoyo económico para hospedaje alimentación y transporte terrestre a representante de los estudiantes
16. AVANCE No 061 de 2018 JOANNA CONSTANZA MITCHELL HERNANDEZ Apoyo económico para manutención con el fin de participar en seminario de capacitación
17. ROCIO DE LAS MERCEDES POLANIA FARFAN Viáticos para desplazamiento a sao pablo Brasil para realizar estudios
18. Apoyo económico para compra de tiquete aéreo a estudiante con destino a la ciudad de Buenos Aires.
Información suministrada por el Área Financiera de Proyección Social.
19. AVANCE No. 131 - JAIME IZQUIERDO BAUTISTA   1.270.000  16-may-18
20. AVANCE No. 140 - JOHAN JULIAN MOLINA   1.728.837  15-may-18
21. AVANCE No. 141 - DIEGO FERNANDO SENDOYA   1.728.837  15-may-1
22. CONSUELO VASQUEZ        1.500.000  04-abr-18
23. FABIAN ANDRES MURCIA CABALLERO    1.500.000  04-abr-18
24. AVANCE No. 023 - ANGELA MAGNOLIA RIOS GALLARDO 5.247.720  04-mar-18
25. CONTRATO PASAJES AEREOS     10.000.000  
26. AVANCE No. - JOHANNA MITCHELL HERNANDEZ  153.248  20-feb-18
27. AVANCE No. 050 - NICOLAS NUÑEZ    803.858  16-abr-18
28. AVANCE No. 085 - MANUEL ARTURO ORTIZ   668.744  25-abr-18
29. AVANCE No. 095 - ELVIA MARIA JIMENEZ   2.500.000  08-may-18
30. AVANCE No. 096 - PATRICIA CARRERA    2.500.000  08-may-18
31. AVANCE No. 107 - NOHORA MONTERO GARCIA   3.500.000  26-abr-18
32. AVANCE No. 110 - ALIX YANETH PERDOMO ROMERO  2.071.500  08-may-18
33. AVANCE No. 111 - CLAUDIA PATRICIA CANTILLO  2.071.500  08-may-18
34. AVANCE No. 112 - CLAUDIA ANDREA RAMIREZ   2.471.300  08-may-18
35. AVANCE No. 113- JASBLEIDY LASSO CONDE   2.071.500  08-may-18
36. AVANCE No. 114 - FABIO ALEXANDER SALAZAR   2.499.420  08-may-18
37. AVANCE No. 115 - HIPOLITO CAMACHO COY   1.500.000  03-may-18
</t>
    </r>
  </si>
  <si>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Reformulación del Estatuto de Proyección Social y la Política de Regionalización:</t>
    </r>
    <r>
      <rPr>
        <sz val="11"/>
        <color theme="1"/>
        <rFont val="Calibri"/>
        <family val="2"/>
        <scheme val="minor"/>
      </rPr>
      <t xml:space="preserve">  
1. Documento borrador del  ESTATUTO DE PROYECCIÓN SOCIAL. (Pendiente revisión y aprobación, avance de un 70 %, se adjunta el documento y se programó una reunipon para el 20 de junio con el objetivo  e avanzar con cada uno de los coordinadores de proyección social en dic ho tema.      
Información suministrada por el Director Administrativo de Proyección Social y Proyectos Especiales Dr. FRANCISCO JOSE ARIZA GUERRA y Jhon Henry Solorzano Profesional de apoyo.
2. Se concluyó el documento maestro Proceso Construcción Política de Regionalización, en cabeza de Juan Camilo Ramirez Director de Sedes, un avance total del 100 %, se adjunta el documento. 
Información suministrada por el Director de Sedes JUAN CAMILO RAMÍREZ.     
</t>
    </r>
  </si>
  <si>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Reformulación del proyecto AAUEES</t>
    </r>
    <r>
      <rPr>
        <sz val="11"/>
        <color theme="1"/>
        <rFont val="Calibri"/>
        <family val="2"/>
        <scheme val="minor"/>
      </rPr>
      <t xml:space="preserve">
Profesional de Gestión Institucional Gloria Cotrino: Durante el mes de mayo se trabajó durante 5 jornadas de trabajo con las universidad aliadas al proyecto de Educación Rural denominado</t>
    </r>
    <r>
      <rPr>
        <sz val="11"/>
        <color rgb="FFFF0000"/>
        <rFont val="Calibri"/>
        <family val="2"/>
        <scheme val="minor"/>
      </rPr>
      <t xml:space="preserve"> CACAO.</t>
    </r>
    <r>
      <rPr>
        <sz val="11"/>
        <color theme="1"/>
        <rFont val="Calibri"/>
        <family val="2"/>
        <scheme val="minor"/>
      </rPr>
      <t xml:space="preserve">..se tiene previsto para el viernes 15 de junio los ajustes finales que el Ministerio de Educación quienes harán el proyecto para que una vez pase la ley de garantías pueda ser radicado para la convocatoria que se dé para el segundo semestre 2018. Existen actas y registros fotográficos Juan Carlos González ha hecho el seguimiento técnico al proyecto y quien estará en la Universidad para dicha fecha consolidando la información requerida para finiquitar el convenio que encabeza la universidad Surcolombiana y se firmara con el Ministerio para llevar a cabo todas las exigencias de carácter técnico, administrativo en este proyecto.
</t>
    </r>
  </si>
  <si>
    <r>
      <t>Unidad de medida:</t>
    </r>
    <r>
      <rPr>
        <sz val="11"/>
        <color theme="1"/>
        <rFont val="Calibri"/>
        <family val="2"/>
        <scheme val="minor"/>
      </rPr>
      <t xml:space="preserve"> </t>
    </r>
    <r>
      <rPr>
        <i/>
        <sz val="11"/>
        <color theme="1"/>
        <rFont val="Calibri"/>
        <family val="2"/>
        <scheme val="minor"/>
      </rPr>
      <t>Definir una agenda regional con actores sociales para implementación y apropiación de la Política de Regionalización:</t>
    </r>
    <r>
      <rPr>
        <sz val="11"/>
        <color theme="1"/>
        <rFont val="Calibri"/>
        <family val="2"/>
        <scheme val="minor"/>
      </rPr>
      <t xml:space="preserve"> 1. El profesor FABIO SALAZAR solicitó  Juan Camilo incluya Agenda Social Regional en la reunión de Regionalización, Se está concluyendo el documento maestro Proceso Construcción Política de Regionalización, un avance total del 100 %. A la fecha se han hecho apoyos económico a las distintas sedes en  las actividades por ejecutar, acciones, proyectos y eventos, actualmente se ha apoyado con $25.915.629       </t>
    </r>
  </si>
  <si>
    <r>
      <t>Unidad de medida:</t>
    </r>
    <r>
      <rPr>
        <sz val="11"/>
        <color theme="1"/>
        <rFont val="Calibri"/>
        <family val="2"/>
        <scheme val="minor"/>
      </rPr>
      <t xml:space="preserve"> </t>
    </r>
    <r>
      <rPr>
        <i/>
        <sz val="11"/>
        <color theme="1"/>
        <rFont val="Calibri"/>
        <family val="2"/>
        <scheme val="minor"/>
      </rPr>
      <t>Macroproyectos:</t>
    </r>
    <r>
      <rPr>
        <sz val="11"/>
        <color theme="1"/>
        <rFont val="Calibri"/>
        <family val="2"/>
        <scheme val="minor"/>
      </rPr>
      <t xml:space="preserve"> Se ingresó el proyecto BANCO DE SANGRE de la Facultad de Salud a proyectos institucionales, recibirá recursos por $35.000.000 para su desarrollo en el presente año. (Anexa formato guía del proyecto)                                                                                                                                                                 3 Proyectos Institucionales con un valor total aprobado de  $ 105.000.000, se han ejecutado hasta el momento $ 28.149.521 para un total de ejecución del 27%.                                                                                                                                                                                                                                                                                                                                           AVANCE No. 035 - ROBERTO VARGAS CUERVO 5207051710  568.436  14-mar-18 MUSEO GEOLOGICO
CONTRATO EDNA MAGALY CALDERON     9.431.564  17-may-18  MUSEO GEOLOGICO
CONTRATO EDNA MAGALY CALDERON     3.168.436  17-may-18 MUESO GEOLOGICO
AVANCE No. 157 - ROBERTO VARGAS     731.690  24-may-18  MUSEO GEOLOGICO
AVANCE No. 145 - MILLER DUSSAN     10.002.000  18-may-18 DESCA
     </t>
    </r>
  </si>
  <si>
    <r>
      <t>Unidad de medida:</t>
    </r>
    <r>
      <rPr>
        <sz val="11"/>
        <color theme="1"/>
        <rFont val="Calibri"/>
        <family val="2"/>
        <scheme val="minor"/>
      </rPr>
      <t xml:space="preserve"> </t>
    </r>
    <r>
      <rPr>
        <i/>
        <sz val="11"/>
        <color theme="1"/>
        <rFont val="Calibri"/>
        <family val="2"/>
        <scheme val="minor"/>
      </rPr>
      <t>Proyectos solidarios ejecutados en cofinanciación con entidades externas</t>
    </r>
    <r>
      <rPr>
        <sz val="11"/>
        <color theme="1"/>
        <rFont val="Calibri"/>
        <family val="2"/>
        <scheme val="minor"/>
      </rPr>
      <t xml:space="preserve">. Actualmente se vienen ejecutando:                                    
1. USCO - ALCALDIA DE NEIVA $1.311.342.869 para un total de ejecución del 96,41 %.  
2. CONVENIO INTERADMINISTRATIVO 0132-2017 DEPARTAMENTO  DEL HUILA - USCO     $9.956.800 para un total de ejecución del 97,22  %.
1 VIPS 115-A2018  $ 1.870.000  AURA LILIBETH ESPINOSA MARTINEZ   1.075.237.785  01/02/2018 30/11/2018
2 VIPS 127-A2018  $ 1.870.000  PAULO EDUARDO SANABRIA   7.688.726  01/02/2018 30/11/2018
3 VIPS 114-A2018  $ 1.870.000  DIEGO FERNANDO CHARRIA PERDOMO   12.145.351  01/02/2018 30/11/2018
4 VIPS 128-A2018  $ 1.870.000  OSCAR HERNANDEZ LIMA    12.135.897  01/02/2018 30/11/2018
5 VIPS 063-A2018  $ 1.870.000  JUAN PABLO CASTAÑEDA GONZALEZ   7.731.330  01/02/2018 30/11/2018
6 VIPS 072-A2018  $ 1.570.000  ANDRES FELIPE CALDERON TRUJILLO    1.075.261.182  01/02/2018 30/11/2018
7 VIPS 084-A2018  $ 1.570.000  CINDY LORENA VICTORIA AGUIRRE   33.751.265  01/02/2018 30/11/2018
8 VIPS 092-A2018  $ 1.570.000  ALAN ANDRES ALVAREZ PERDOMO    7.729.982  01/02/2018 30/11/2018
9 VIPS 093-A2018  $ 1.570.000  FABIO NELSON RIVERA CEBALLOS   7.722.823  01/02/2018 30/11/2018
10 VIPS 132-A2018  $ 1.570.000  CINDY TATIANA FLOREZ NUÑEZ    1.075.223.919  01/02/2018 30/11/2018
11 VIPS 116-A2018  $ 1.570.000  DEIBI ANDRES VARGAS ANDRADE   12.145.220  01/02/2018 30/11/2018
12 VIPS 082-A2018  $ 1.870.000  JESSICA NATALIA GONZALEZ 1.075.249.156  01/02/2018 30/11/2018
13 VIPS 071-A2018  $ 1.570.000  MADY JOHANA CRUZ     36.305.439  01/02/2018 30/11/2018
14 VIPS 061-A2018  $ 1.870.000  MARLIO GUZMAN IPUZ     1.075.235.943  01/12/2017 29/12/2017
15 VIPS 151-A2018  $ 1.258.000  YENY CONSTANZA JIMENEZ  55.174.378  01/12/2017 17/12/2017
16 VIPS 098-A2018  $ 1.870.000  DIEGO ARMANDO RAMIREZ TORRES   83.041.128  01/02/2018 30/11/2018
17 VIPS xxx-A2018   $ 1.570.000  CRISTIAN MUÑOZ GARCIA    1.075.245.983  01/02/2018 30/11/2018
18 VIPS 096-A2018  $ 1.870.000  GIAN PIER POOL PADOAN PEREZ  7.727.030  01/02/2018 30/11/2018
19 VIPS 089-A2018  $ 1.870.000  EDWIN CHALA HUEPE    1.075.250.302  01/02/2018 30/11/2018
20 VIPS 066-A2018  $ 1.870.000  JORGE EDUARDO FAJARDO SANCHEZ  1.075.234.949  01/02/2018 30/11/2018
21 VIPS 111-A2018  $ 1.870.000  NILSON OLAYA FERNANDEZ   12.138.155  01/02/2018 30/11/2018
22 VIPS 110-A2018  $ 1.870.000  JUAN JAVIER VELASQUEZ RIVAS   7.689.450  01/02/2018 30/11/2018
23 VIPS 059-A2018  $ 1.870.000  RUBEN STID BERMUDEZ ANGEL   7.729.627  01/02/2018 30/11/2018
24 VIPS 125-A2018  $ 1.870.000  DINY MARYOBY BORRERO DEVIA  1.075.257.168  01/02/2018 30/11/2018
25 VIPS 131-A2018  $ 1.870.000  REINALDO ROA RAMIREZ   7.691.719  01/02/2018 30/11/2018
26 VIPS 054-A2018  $ 1.570.000  GINA LORENA ANDRADE CEDEÑO  1.075.285.319  01/02/2018 30/11/2018
27 VIPS 079-A2018  $ 1.870.000  CRISTIAN DAVID BELLO     7.705.043  01/02/2018 30/11/2018
28 VIPS 078-A2018  $ 1.870.000  CRISTHIAN CAMILO HACHITO    7.711.358  01/02/2018 30/11/2018
29 VIPS 104-A2018  $ 1.570.000  ALEXIS CABRERA PALACIOS   1.077.450.297  01/02/2018 30/11/2018
30 VIPS 055-A2018  $ 1.570.000  HOLLMAN ANDRES CHARRY DIAZ  1.075.250.443  01/02/2018 30/11/2018
31 VIPS 053-A2018  $ 1.570.000  OSCAR JAVIER MOSQUERA ANDRADE  83.229.486  01/02/2018 30/11/2018
32 VIPS 086-A2018  $ 1.470.000  NINI JOHANA TORRESCUBILLOS   1.075.218.493  01/12/2017 29/12/2017
33 VIPS 124-A2018  $ 1.870.000  JOHNY PUENTES RUIZ    36.280.676  01/02/2018 30/11/2018
34 VIPS 107-A2018  $ 1.870.000  MARLY ANDREA NARVAEZ   1.075.220.822  01/02/2018 30/11/2018
35 VIPS 103-A2018  $ 1.870.000  GILBERT OLIVO SANCHEZ PUENTES  7.720.616  01/02/2018 30/11/2018
36 VIPS 099-A2018  $ 1.870.000  OSCAR MILLO MENESES VARGAS  1.075.248.717  01/02/2018 30/11/2018
37 VIPS 091-A2018  $ 1.870.000  JOSE GERARDO VELASQUEZ RIVAS  7.706.643  01/02/2018 30/11/2018
38 VIPS 056-A2018  $ 1.570.000  CARLOS SANTIAGO ROZO TRONCOSO  7.692.993  01/02/2018 30/11/2018
39 VIPS 088-A2018  $ 1.870.000  YAMID GONZALEZ PEREZ   1.075.213.236  01/02/2018 30/11/2018
40 VIPS 094-A2018  $ 1.870.000  CARLOS ANDRES TAFUR FLOREZ  7.702.999  01/02/2018 30/11/2018
41 VIPS 113-A2018  $ 1.870.000  DIEGO FERNANDO OLAYA TOVAR  7.716.045  01/02/2018 30/11/2018
42 VIPS 108-A2018  $ 1.870.000  MAURICIO FIERRO GOMEZ   7.715.541  01/02/2018 30/11/2018
43 VIPS 100-A2018  $ 1.870.000  DIEGO ARMANDO TRUJILLO   1.075.793.657  01/02/2018 30/11/2018
44 VIPS 064-A2018  $ 1.870.000  JAILER GARCIA BUITRAGO   1.075.542.692  01/02/2018 30/11/2018
45 VIPS 057-A2018  $ 1.870.000  JUAN JOSE RODRIGUEZ GRIJALBA  1.075.216.995  01/02/2018 30/11/2018
46 VIPS xxx-B2017   $ 1.570.000  GUSTAVO ANDRES PEÑA GUZMAN  1.075.243.991  01/02/2018 30/11/2018
47 VIPS 123-B2017   $ 1.870.000  CARLOS JULIO DIAZ CRIOLLO   7.703.046  01/02/2018 30/11/2018
48 VIPS 109-B2017   $ 1.870.000  JESUS FERNANDO TEJADA BONILLA  7.721.460  01/02/2018 30/11/2018
49 VIPS 060-B2017   $ 1.870.000  LEONARDO TORRENTE MEDINA   7.720.426  01/02/2018 30/11/2018
50 VIPS xxx-B2017   $ 1.870.000  ALVARO PRIETO PERDOMO   12.113.917  01/02/2018 30/11/2018
51 VIPS 117-B2017   $ 1.870.000  GIOVANNI LOZANO ESCOBAR   83.229.643  01/02/2018 30/11/2018
52 VIPS 062-B2017   $ 1.870.000  RICARDO ALBERTO CORDOBA 1.075.240.635  01/02/2018 30/11/2018
53 VIPS 101-B2017   $ 1.870.000  EDWARD CHARRY ANGEL   7.686.571  01/02/2018 30/11/2018
54 VIPS xxx-B2017   $ 1.870.000  JUAN MANUEL ORTIZ OLAYA  83168564 01/02/2018 30/11/2018
55 VIPS 112-B2017   $ 1.870.000  JHON ERWIN ARIAS GARCIA   7.731.816  01/02/2018 30/11/2018
56 VIPS xxx-B2017   $ 1.702.000  MARIA DEL PILAR QUINTERO CHARRY  36.307.705  01/02/2018 30/11/2018
57 VIPS 152-B2017   $ 1.702.000  YISELA YASNO VARGAS  1.075.253.602  01/02/2018 30/11/2018
58 VIPS 146-B2017   $ 1.702.000  ANGIE TATIANA AYA CARDOZO  1.075.247.318  01/02/2018 30/11/2018
59 VIPS 081-B2017   $ 2.675.000  EIVAR FERNANDO VARGAS 1.075.209.507 01/02/2018 30/11/2018
60 VIPS 085-B2017   $ 1.470.000  KAREN LORENA REYES VELEZ  1.030.611.462 01/02/2018 30/11/2018
62 VIPS 058-B2017   $ 1.870.000  NATALIA MEDINA   1.075.280.762 01/02/2018 30/11/2018
63 VIPS 097-A2018  $ 1.570.000  CRISTIAN CAMILO ROJAS  1.075.245.768 01/02/2018 30/11/2018
64 VIPS 132-A 2018 CINDY TATIANA FLOREZ                                                                                                                              65 VIPS 095-A2018 WILMAR FERNANDO GONZALEZ                                                                                                               66 VIPS 096-A2018 CLEIDER ALBEIRO HOME                                                                                                                                67 VIPS 083-A2018 HARRINSON CALDERON LOPEZ                                                                                                                  68 VIPS 133-A2018 HERNAN DARIO GUZMAN IPUZ                                                                                                                   69 VIPS 106-A2018 HORACIO LIZARAZO SALINAS                                                                                                                    70 VIPS 135-A2018RICARDO LEON REINA                                                                                                                                     71 VIPS 129-A2018 ALVARO JAVIER RODRIGUEZ                                                                                                                       72 VIPS 134-A2018 DEIBY JAVIER LOZANO                                                                                                                                  73 VIPS 102-A2018 ELSA NARVAEZ SANCHEZ                                                                                                                              74 VIPS 087-A2018 CLAUDIA PATRICIA MOLINA                                                                                                                        75 VIPS 122-A2018 DASNIELD SALAZAR </t>
    </r>
  </si>
  <si>
    <r>
      <t>Unidad de medida:</t>
    </r>
    <r>
      <rPr>
        <sz val="11"/>
        <color theme="1"/>
        <rFont val="Calibri"/>
        <family val="2"/>
        <scheme val="minor"/>
      </rPr>
      <t xml:space="preserve"> </t>
    </r>
    <r>
      <rPr>
        <i/>
        <sz val="11"/>
        <color theme="1"/>
        <rFont val="Calibri"/>
        <family val="2"/>
        <scheme val="minor"/>
      </rPr>
      <t>Financiación de Banco de Proyectos de Proyección Social</t>
    </r>
    <r>
      <rPr>
        <sz val="11"/>
        <color theme="1"/>
        <rFont val="Calibri"/>
        <family val="2"/>
        <scheme val="minor"/>
      </rPr>
      <t xml:space="preserve">:  Actualmente se está trabajando sobre 10  proyectos de convocatoria 2017 y 3 de convocatoria 2016, se les hizo prorroga hasta noviembre por solicitud de los proyectos.                                                                                                                                  </t>
    </r>
  </si>
  <si>
    <r>
      <t>Unidad de medida:</t>
    </r>
    <r>
      <rPr>
        <sz val="11"/>
        <color theme="1"/>
        <rFont val="Calibri"/>
        <family val="2"/>
        <scheme val="minor"/>
      </rPr>
      <t xml:space="preserve"> Ejecución de actividades de Responsabilidad Social Universitaria (RSU): Fueron aprobados los proyectos de extensión de las 7 Facultades por un valor asignado de $14´285.714 cada una, los cuales se distribuyen en los Comités de cada Facultad de acuerdo a las solicitudes y actividades proyectadas en el año, hasta la fecha fueron entregados en la Dirección Administrativa de Proyección Social y Proyectos Especiales 44. se realizaron 76 movimientos de apoyo a las actividades.</t>
    </r>
  </si>
  <si>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Convenios suscritos:Unidad de medida: Convenios suscritos:
Se han adelantado los acercamientos pertinentes para lograr suscribir los siguientes convenios 
1. SE FIRMÓ UN CONVENIO DE COOPERACIÓN ESPECIAL PARA EL DESARROLLO DE ACTIVIDADES DE CIENCIA, TECNOLOGÍA E INNOVACIÓN ENTRE LAS UNIVERSIDAD SURCOLOMBIANA - COLOMBIA Y UNIVERSITY OF HULL - REINO UNIDO. OBJETO.  EL OBJETO DEL PRESENTE CONVENIO ES REGULAR LA COLABORACIÓN ENTRE LA UNIVERSITY OF HULL Y LA UNIVERSIDAD SURCOLOMBIANA, ESTABLECIENDO LOS TÉRMINOS Y CONDICIONES POR LOS CUALES SE COMPROMETEN A COOPERAR PARA FACILITAR LA EJECUCIÓN DE LOS TRABAJOS DE INVESTIGACIÓN RELACIONADOS CON EL PROYECTO “MICROPLASTIC CONTAMINATION OF THE GLOBAL FOOD SUPPLY: STATUS OF FISH FARMED IN THE HUILA REGIÓN COLOMBIA” 
2. SE PROYECTÓ LA MINUTA DE CONVENIO ESPECÍFICO DE COOPERACIÓN ENTRE LA UNIVERSIDAD SURCOLOMBIANA Y LA EMPRESA DEL ESTADO CARMEN EMILIO OSPINA DE LA CIUDAD DE NEIVA. OBJETO. EL OBJETO DEL PRESENTE CONVENIO ESPECIFICO ENTRE LA UNIVERSIDAD Y LA EMPRESA DEL ESTADO “CARMEN EMILIA OSPINA” DE LA CIUDAD DE NEIVA ES PARA PROMOVERÁN EL DESARROLLO PARA LA GRABACIÓN Y EDICIÓN DE QUINCE (15) CLASES ORIENTADAS POR EL PERSONAL DE LA ESE, CON EL PROPÓSITO DE CREAR LOS CURSOS CIENTÍFICOS TÉCNICOS BAJO LA MODALIDAD VIRTUAL EN LA PLATAFORMA SAKAI DE LA UNIVERSIDAD SURCOLOMBIANA". 
3.  SE PROYECTÓ LA MINUTA DE CONVENIO MARCO DE COOPERACIÓN ENTRE LA UNIVERSIDAD SURCOLOMBIANA Y LA FUNDACIÓN CENTRO DE INVESTIGACIONES EN SALUD, EDUCACIÓN Y DESARROLLO SOCIAL. OBJETO. EL OBJETO DEL PRESENTE CONVENIO MARCO DE COOPERACIÓN ES AUNAR ESFUERZOS TÉCNICOS, ADMINISTRATIVOS Y FINANCIEROS ENTRE LA USCO Y LA FUNDACIÓN, QUIENES PROMOVERÁN EL DESARROLLO DE PROYECTOS DE FORMACIÓN, INVESTIGACIÓN, CONSULTORIA, PROYECCIÓN SOCIAL, BIENESTAR UNIVERSITARIO, ADMINISTRATIVO, CONSOLIDANDO LA ALIANZA UNIVERSIDAD – EMPRESA – ESTADO".
4. SE PROYECTÓ LA MINUTA DE CONVENIO MARCO DE COOPERACIÓN ENTRE LA UNIVERSIDAD SURCOLOMBIANA Y LA UNIVERSIDAD COOPERATIVA DE COLOMBIA. OBJETO: CONVENIO MARCO DE COOPERACIÓN DE INVESTIGACIÓN ES PARA AUNAR ESFUERZOS TÉCNICOS, ADMINISTRATIVOS, FINANCIEROS Y ACADEMICOS ENTRE LA UNIVERSIDAD Y LA UCC, QUIENES PROMOVERÁN EL DESARROLLO DE PROYECTOS DE FORMACIÓN, INVESTIGACIÓN, PROYECCIÓN SOCIAL, BIENESTAR UNIVERSITARIO Y COMUNITARIO, ADMINISTRATIVO, CONSOLIDANDO LA ALIANZA DE LA RED DE UNIVERSIDADES. SEGUNDA. CONVENIOS ESPECÍFICOS".
5. CONTRATO DE PRESTACIÓN DE SERVICIOS No. 001 DE 2018 CELEBRADO ENTRE LA CAJA DE COMPENSACIÓN FAMILIAR DEL PUTUMAYO - COMFAMILIAR PUTUMAYO Y LA UNIVERSIDAD SURCOLOMBIANA. OBJETO: La USCO SE COMPROMETE CON AUTONOMÍA Y CON SUS PROPIOS MEDIOS A IMPLEMENTAR EL “DIPLOMADO EN AGENDAS DE PAZ, TERRITORIOS Y CONFLICTOS”, EL CUAL SE DICTARÁ EN EL MUNICIPIO DE LA DORADA-PUTUMAYO, PARA TREINTA Y CINCO (35) ESTUDIANTES.
6. SE PROYECTÓ LA MINUTA DE CONVENIO DE COOPERACIÓN ACADÉMICA PARA LA REALIZACIÓN DE PRÁCTICAS FORMATIVAS DE LA MAESTRÍA EN NEUROPSICOLOGÍA CLÍNICA CELEBRADO ENTRE LA UNIVERSIDAD SURCOLOMBIANA Y LA INSTITUCIÓN EDUCATIVA JUAN DE CABRERA. OBJETO. - EL OBJETO DEL PRESENTE CONVENIO DE PRÁCTICAS ACADÉMICAS FORMATIVAS DE LA MAESTRÍA EN NEUROPSICOLOGÍA CLÍNICA ENTRE LA UNIVERSIDAD SURCOLOMBIANA Y LA INSTITUCIÓN EDUCATIVA JUAN DE CABRERA, DIRIGIDO A LOS ESTUDIANTES QUE SE ENCUENTREN MATRICULADOS Y CURSANDO A PARTIR DEL SEGUNDO (2°) SEMESTRE DE LA MAESTRÍA EN NEUROPSICOLOGÍA CLÍNICA Y QUE HAYAN CUMPLIDO COMO REQUISITOS LA APROBACIÓN LOS CURSOS DEL PRIMER SEMESTRE TAL COMO DICE el REGLAMENTO PARA LA REALIZACIÓN DE LAS PRÁCTICAS, BUSCANDO EL CUMPLIMIENTO DE LA MISIÓN SOCIAL CONJUNTA DE LA UNIVERVISAS Y LA INSTITUCIÓN EDUCATIVA.</t>
    </r>
  </si>
  <si>
    <r>
      <t>Unidad de medida:</t>
    </r>
    <r>
      <rPr>
        <sz val="11"/>
        <color theme="1"/>
        <rFont val="Calibri"/>
        <family val="2"/>
        <scheme val="minor"/>
      </rPr>
      <t xml:space="preserve"> </t>
    </r>
    <r>
      <rPr>
        <i/>
        <sz val="11"/>
        <color theme="1"/>
        <rFont val="Calibri"/>
        <family val="2"/>
        <scheme val="minor"/>
      </rPr>
      <t>Estudio de Impacto:</t>
    </r>
    <r>
      <rPr>
        <sz val="11"/>
        <color theme="1"/>
        <rFont val="Calibri"/>
        <family val="2"/>
        <scheme val="minor"/>
      </rPr>
      <t xml:space="preserve">                                                                                                                          Desarrollo del capítulo 3 de Proyección Social para la consolidación del libro del Rector Pedro León Reyes Gaspar, en dónde se consolidad el impacto de éste subsistema durante los años 2014 al 2017.                                                                                                               Estructuración del documento de la evaluación del impacto de la proyección Social en dónde se presenta el marco teórico, antecedentes, presentación de la Proyección Social de la Universidad Surcolombiana, Justificación y un instrumento base para evaluar el impacto de la Proyección Social dirigido a docentes estudiantes y administrativos. ANEXO DOCUMENTOS </t>
    </r>
  </si>
  <si>
    <r>
      <t>Unidad de medida:</t>
    </r>
    <r>
      <rPr>
        <sz val="11"/>
        <color theme="1"/>
        <rFont val="Calibri"/>
        <family val="2"/>
        <scheme val="minor"/>
      </rPr>
      <t xml:space="preserve"> </t>
    </r>
    <r>
      <rPr>
        <i/>
        <sz val="11"/>
        <color theme="1"/>
        <rFont val="Calibri"/>
        <family val="2"/>
        <scheme val="minor"/>
      </rPr>
      <t xml:space="preserve">Apoyo a la gestión y puesta en marcha de emprendimiento </t>
    </r>
    <r>
      <rPr>
        <sz val="11"/>
        <color theme="1"/>
        <rFont val="Calibri"/>
        <family val="2"/>
        <scheme val="minor"/>
      </rPr>
      <t xml:space="preserve">                                                   Se recibió el informe trimestral de las actividades que viene desempeñando el Centro de Emprendimiento, anexo informe enviado por el Docente y Director RAFAEL HERNANDO MÉNDEZ, además se elaboró el seguiminto teniendo en cuenta el Acuerdo 015 de 2016 y se deja anexo al correo hasta que se defina la inclusión al Plan de Desarrollo Institucional final.                                                                                           * “Investigación de las condiciones de control de calidad café especial La Plata, Huila, centro oriente” se logró la publicación de 200 ejemplares del libro denominado “Análisis del sector cafetero”                                                                               * Se logró la aprobación del articulo denominado “La interdisciplinariedad en la investigación aplicada y su impacto en la relación Empresa, Estado y Universidad: el caso OCCICAFE” en la revista Entornos de la Universidad.                                                                                                                                                                                             * Con el apoyo colaborativo en algunas actividades el Centro de Emprendimiento e Innovación, ha venido desarrollando el proyecto denominado “Improving rural livelihoods through promoting high-quality coffee an coffee cherry products in the origin countries Colombia and Bolivia” en cooperación con el Centro Surcolombiano de Investigación en café CESURCAFE.            
* Postulación a Convocatoria de menor cuantía con el proyecto denominado “Los rasgos de Personalidad de los Emprendedores de la red e Emprendimiento e Innovación de las Universidades Públicas de Colombia y sus Competencias para la Innovación”.
* Investigación: “Organización Proyectos Caminemos por la vida caso de Articulación Universidad- Comunidad”.
</t>
    </r>
  </si>
  <si>
    <r>
      <t>Unidad de medida:</t>
    </r>
    <r>
      <rPr>
        <sz val="11"/>
        <color theme="1"/>
        <rFont val="Calibri"/>
        <family val="2"/>
        <scheme val="minor"/>
      </rPr>
      <t xml:space="preserve"> </t>
    </r>
    <r>
      <rPr>
        <i/>
        <sz val="11"/>
        <color theme="1"/>
        <rFont val="Calibri"/>
        <family val="2"/>
        <scheme val="minor"/>
      </rPr>
      <t xml:space="preserve">Apoyo a la cofinanciación de proyectos de la alianza, Universidad, Empresa, Estado, Sociedad.                   </t>
    </r>
    <r>
      <rPr>
        <sz val="11"/>
        <color theme="1"/>
        <rFont val="Calibri"/>
        <family val="2"/>
        <scheme val="minor"/>
      </rPr>
      <t xml:space="preserve">                                                                                                                                                                               1. Gestionar ante el Ministerios de Educación Nacional, el plan estratégico intersectorial de Educación Superior Rural, para buscar la cofinanciación de proyectos identificados en el plan estratégico diseñado para este fin. Actualmente se encuentra apoyando la gestión la Dra.- Gloria Cotrino y se llevó a cabo una jornada de trabajo con actores de Gobierno Departamental, Municipal, Gremios y Cámara de Comercio y red de Universidad en mesas temáticas de Proyección Social, para la socialización de la estrategia EDUCACION SUPERIOR RURAL del Ministerio de Educación Nacional MEN, posteriormente elaborar el plan estratégico de la mesa sectorial del Huila de manera integral, en mayo se debe dejar elaborado el Plan Estratégico Sectorial de Educación Superior Rural liderado por la USCO.          debido a que se dio prioridad a la estructuració del proyecto de </t>
    </r>
    <r>
      <rPr>
        <sz val="11"/>
        <color rgb="FFFF0000"/>
        <rFont val="Calibri"/>
        <family val="2"/>
        <scheme val="minor"/>
      </rPr>
      <t xml:space="preserve">CACAO... </t>
    </r>
    <r>
      <rPr>
        <sz val="11"/>
        <color theme="1"/>
        <rFont val="Calibri"/>
        <family val="2"/>
        <scheme val="minor"/>
      </rPr>
      <t>una vez que el misnitareio de educación lance eoficialmente este prorgrama en el segundo semestre se convocara nuevamente a todos los actores y/o entidades participantes de la mesa intersectiroal para diseñar el plan estrategico mencionado.</t>
    </r>
  </si>
  <si>
    <r>
      <t xml:space="preserve">Unidad de medida: Proyectos ejecutados por Agenda Social Regional                                                                                      Se recibió informe de la Agenda Social Regional. Director Dr. FABIO SALAZAR, se anexa al archivo informe de PDI 1° Trimestre.  En lo que corresponde al segundo trimestre del semestre 2018-1, a la fecha, se han venido desarrollando sesiones de reunión con </t>
    </r>
    <r>
      <rPr>
        <b/>
        <sz val="10.5"/>
        <color theme="1"/>
        <rFont val="Calibri"/>
        <family val="2"/>
        <scheme val="minor"/>
      </rPr>
      <t>i)</t>
    </r>
    <r>
      <rPr>
        <sz val="10.5"/>
        <color theme="1"/>
        <rFont val="Calibri"/>
        <family val="2"/>
        <scheme val="minor"/>
      </rPr>
      <t xml:space="preserve">los integrantes delegados por las facultades para la vigencia del primer semestre del año 2018 y que conforman el </t>
    </r>
    <r>
      <rPr>
        <b/>
        <sz val="10.5"/>
        <color theme="1"/>
        <rFont val="Calibri"/>
        <family val="2"/>
        <scheme val="minor"/>
      </rPr>
      <t>COMITÉ INTERFACULTADES</t>
    </r>
    <r>
      <rPr>
        <sz val="10.5"/>
        <color theme="1"/>
        <rFont val="Calibri"/>
        <family val="2"/>
        <scheme val="minor"/>
      </rPr>
      <t xml:space="preserve"> del proyecto, para tratar asuntos del funcionamiento interno del proyecto, así como también para la revisión y discusión conjunta de los documentos elaborados por la contratista MERCY JULIETH OLAYA CORREDOR (Asesora jurídica y apoyo a la gestión administrativa del proyecto), quien en desarrollo de sus actividades ha construído </t>
    </r>
    <r>
      <rPr>
        <b/>
        <sz val="10.5"/>
        <color theme="1"/>
        <rFont val="Calibri"/>
        <family val="2"/>
        <scheme val="minor"/>
      </rPr>
      <t>1</t>
    </r>
    <r>
      <rPr>
        <sz val="10.5"/>
        <color theme="1"/>
        <rFont val="Calibri"/>
        <family val="2"/>
        <scheme val="minor"/>
      </rPr>
      <t>. una propuesta de reglamento interno para el funcionamiento interno del proyecto conforme los requerimientos de la Coordinación del proyecto y</t>
    </r>
    <r>
      <rPr>
        <b/>
        <sz val="10.5"/>
        <color theme="1"/>
        <rFont val="Calibri"/>
        <family val="2"/>
        <scheme val="minor"/>
      </rPr>
      <t xml:space="preserve"> 2.</t>
    </r>
    <r>
      <rPr>
        <sz val="10.5"/>
        <color theme="1"/>
        <rFont val="Calibri"/>
        <family val="2"/>
        <scheme val="minor"/>
      </rPr>
      <t xml:space="preserve"> un documento contentivo de </t>
    </r>
    <r>
      <rPr>
        <b/>
        <sz val="10.5"/>
        <color theme="1"/>
        <rFont val="Calibri"/>
        <family val="2"/>
        <scheme val="minor"/>
      </rPr>
      <t>proyecto de acuerdo</t>
    </r>
    <r>
      <rPr>
        <sz val="10.5"/>
        <color theme="1"/>
        <rFont val="Calibri"/>
        <family val="2"/>
        <scheme val="minor"/>
      </rPr>
      <t xml:space="preserve"> para la creación y puesta en funcionamiento del </t>
    </r>
    <r>
      <rPr>
        <b/>
        <sz val="10.5"/>
        <color theme="1"/>
        <rFont val="Calibri"/>
        <family val="2"/>
        <scheme val="minor"/>
      </rPr>
      <t>OBSERVATORIO REGIONAL DE POLÍTICAS PÚBLICAS</t>
    </r>
    <r>
      <rPr>
        <sz val="10.5"/>
        <color theme="1"/>
        <rFont val="Calibri"/>
        <family val="2"/>
        <scheme val="minor"/>
      </rPr>
      <t xml:space="preserve">, que constituye una de las actividades contempladas en el </t>
    </r>
    <r>
      <rPr>
        <b/>
        <sz val="10.5"/>
        <color theme="1"/>
        <rFont val="Calibri"/>
        <family val="2"/>
        <scheme val="minor"/>
      </rPr>
      <t>PLAN QUINQUENAL DE REGIONALIZACIÓN</t>
    </r>
    <r>
      <rPr>
        <sz val="10.5"/>
        <color theme="1"/>
        <rFont val="Calibri"/>
        <family val="2"/>
        <scheme val="minor"/>
      </rPr>
      <t xml:space="preserve"> actual y cuya responsabilidad quedó a cargo de la Facultad de Ciencias Sociales y Humanas y el proyecto SP.PY6. "Estructuración y Desarrollo de la Agenda Social Regional; </t>
    </r>
    <r>
      <rPr>
        <b/>
        <sz val="10.5"/>
        <color theme="1"/>
        <rFont val="Calibri"/>
        <family val="2"/>
        <scheme val="minor"/>
      </rPr>
      <t>ii)</t>
    </r>
    <r>
      <rPr>
        <sz val="10.5"/>
        <color theme="1"/>
        <rFont val="Calibri"/>
        <family val="2"/>
        <scheme val="minor"/>
      </rPr>
      <t xml:space="preserve"> las representantes de la Alcaldía de Neiva y la Secretaría de Equidad e Inclusión y el Dr. Fabio Alexander Salazar Piñeros (Coordinador del proyecto) y su equipo de trabajo conformado por los contratistas JUAN CARLOS ALBARRACÍN (Gestor de proyectos y responsable de comunicaciones del proyecto) y MERCY JULIETH OLAYA CORREDOR (Asesora Jurídica y Apoyo a la gestión adtiva. del proyecto), personal  contratado durante la vigencia del primer semestre del año 2018, para el apoyo a la gestión de los proyectos del SP.PY6., con el ánimo de adelantar las actividades jurídicas y administrativas necesarias para la celebración de un convenio durante el segundo semestre del año 2018, por medio del cual se de continuidad a las actividades de formación consistentes en la realización de la segunda fase de Diplomado dirigido a una población beneficiaría, desarrollando gestiones previas necesarias para la consecusión de las actividades que se han determinado para el proyecto.  </t>
    </r>
    <r>
      <rPr>
        <b/>
        <sz val="10.5"/>
        <color theme="1"/>
        <rFont val="Calibri"/>
        <family val="2"/>
        <scheme val="minor"/>
      </rPr>
      <t xml:space="preserve">Como soportes, se allegan copias de las Actas de reunión celebradas con los miembros del Comité Interfacultades y las representantes de la Alcaldía de Neiva (Secretaría de Equidad e Inclusión). Es importante resaltar que s ehan ejecutado 4 reuniones preparatorias para la organización del Foro de Empresas y Derechos Humanos que pretenden abordar la Política Pública en dicho tema.  la PP Nacional o Plan de Aciión en Empresas y DDHH, se llevará a cabo un Foro Internacional en el mes de octubre impulsando la ASR, el observatorio Surcolombianode DH (OBSURDH), la ONG Colombiana Tierra Digna y la red internacional DH  (RIDH) con sede en Ginebra - Suiza. </t>
    </r>
  </si>
  <si>
    <r>
      <t>Unidad de medida:</t>
    </r>
    <r>
      <rPr>
        <sz val="11"/>
        <color theme="1"/>
        <rFont val="Calibri"/>
        <family val="2"/>
        <scheme val="minor"/>
      </rPr>
      <t xml:space="preserve"> </t>
    </r>
    <r>
      <rPr>
        <i/>
        <sz val="11"/>
        <color theme="1"/>
        <rFont val="Calibri"/>
        <family val="2"/>
        <scheme val="minor"/>
      </rPr>
      <t xml:space="preserve">Implementación del Programa de articulación de la Educación Superior con la Educación Media, el trabajo y el desarrollo humano  </t>
    </r>
    <r>
      <rPr>
        <sz val="11"/>
        <color theme="1"/>
        <rFont val="Calibri"/>
        <family val="2"/>
        <scheme val="minor"/>
      </rPr>
      <t xml:space="preserve">                                                                                                           1. la Secretaría de Educación Municipal de Neiva, priorizó el proyecto de articulación de la media con la educación superior el cual requiere un convenio interinstitucional para la ejecución de éste proyecto en la USCO. (En trámite minuta de convenio)                                                                                                                                 2.  La escuela pedagógica de la USCO  ha realizado  visitas a las instituciones de formación técnica con el propósito de hacer cadena de formación en tecnología.                                                                                                 3.En el mes de mayo el Consejo Superior Universitario, crea oficialmente la escuela tecnica y tecnologíca de la universiadd surcolombiana lo cual permite ofciialmente concretar la realización de proyectos de manera articulada con la secretaria de edcuación de neiva. Alvaro Lozano Osorio es quien lidera Acuerdo 018 de 2018 del 4 de mayo  POR EL CUAL SE CREA LA ESCUELA DE FORMACIÓN E INNOVACIÓN TECNOLOGICA EFIT ADSCRITA A LA FACULTAD DE INGENIERIA Es una unidad academico administrativa para que sew promueva el talento humano que busca establecer y desarrollar estrategias con la educación media y con la educación para el trabajo y el desarrollo humano articulando con grupos de investigacion </t>
    </r>
  </si>
  <si>
    <t>NO REPORTA ACTIVIDADES EN EL MES DE JUNIO DE 2018.</t>
  </si>
  <si>
    <t>INFORME DE GESTIÓN CORRESPONDFIENTE A LOS MESES DE ABRIL A JUNIO, DONDE SE OBSERVAN DIFERENTES REGISTROS DE LAS ACTIVIDADES ERALIZADAS.</t>
  </si>
  <si>
    <t>INFORME DE LA COORDINADORA DE DEPORTES, SOBRE LAS ACTIVIDADES ERALIZADAS EN EL PRIMER SEMESTRE DEL 2018.</t>
  </si>
  <si>
    <t xml:space="preserve">1. INFORME DE GESTIÓN DEL MES DE JUNIO DE LA COORDINADORA DE EXTENSIÓN CULTURAL.
</t>
  </si>
  <si>
    <t>EN EL MES DE JUNIO DE 2018 NO SE REALIZARON ACTIVIDADES DE CLIMA ORGANIZACIONAL, YA QUE POR EFECTOS DE LA LEY DE GARANTIAS, NO SE PODIA REALIZAR ESTE TIPO DE ACTIVIDADES.</t>
  </si>
  <si>
    <t>EN EL MES DE JUNIO DE 2018 NO SE REPORTÓ AVANCE, TENIENDO EN CUENTA QUE SE TIENE PROYECTADO EJECUTARLO EN EL PERÍODO 2018-2.</t>
  </si>
  <si>
    <t>INFORME DE GESTIÓN DE LA COORFDINACIÓN ODONTOLÓGICA DEL MES.</t>
  </si>
  <si>
    <t>INFORME DE GESTIÓN CORRESPONDFIENTE A LOS MESES DE ABRIL A JUNIO, DONDE SE OBSERVAN DIFERENTES REGISTROS DE LAS ACTIVIDADES REALIZADAS.</t>
  </si>
  <si>
    <t>Formulación de un Modelo de Autoevaluación Institucional que referencia la metodología del proceso de autoevaluación, la interacción de comunicación continua y las formas de organización  del trabajo y las relaciones entre objetos, sujetos y circunstancias, con base en los lineamientos institucionales (PEU) nacionales e internacionales.                                                                                                                                      *Documento Creación de la Oficina de Aseguramiento de la Calidad.                                                                                                                *Documento Modelo de Autoevaluación                                                                                                                                                                     *Plan de trabajo Formulado y socializado.                                                                                                                                                            *Estado actual de los programas de la Institución respecto de renovación de registros calificados, acreditación y reacreditación</t>
  </si>
  <si>
    <r>
      <rPr>
        <b/>
        <sz val="11"/>
        <color theme="1"/>
        <rFont val="Calibri"/>
        <family val="2"/>
        <scheme val="minor"/>
      </rPr>
      <t>ABRIL</t>
    </r>
    <r>
      <rPr>
        <sz val="12"/>
        <color theme="1"/>
        <rFont val="Calibri"/>
        <family val="2"/>
        <scheme val="minor"/>
      </rPr>
      <t>:</t>
    </r>
    <r>
      <rPr>
        <sz val="10"/>
        <color theme="1"/>
        <rFont val="Calibri"/>
        <family val="2"/>
        <scheme val="minor"/>
      </rPr>
      <t xml:space="preserve"> *ADICION AL CONTRATO ADECUACION Y MANTENIMIENTO DE INFRAESTRUCTURA FISICA DE CUBIERTA DE COLISEO DE BALONCESTO Y SALON DE CLASES USO                                                                                                                                                                       *ADECUACIONES E INSTALACIONES CORRESPONDIENTES AL CONSULTORIO JURIDICO DE LA SEDE PITALITO                                                       *REVISION DE LOS DISEÑOS Y ESTUDIOS ESTRUCTURALES Y GEOTECNICOS DEL PROYECTO EDIFICIO. FAC. EDUCACION NEIVA                                                                                                                           </t>
    </r>
    <r>
      <rPr>
        <b/>
        <sz val="11"/>
        <color theme="1"/>
        <rFont val="Calibri"/>
        <family val="2"/>
        <scheme val="minor"/>
      </rPr>
      <t>MAYO</t>
    </r>
    <r>
      <rPr>
        <sz val="10"/>
        <color theme="1"/>
        <rFont val="Calibri"/>
        <family val="2"/>
        <scheme val="minor"/>
      </rPr>
      <t>: ADECUACION Y MANTENIMIENTO DE INFRAESTRUCTURA FISICA DEL EDIFICIO DE ARTES DE LA SEDE CENTRAL USCO</t>
    </r>
  </si>
  <si>
    <r>
      <rPr>
        <sz val="10"/>
        <color theme="1"/>
        <rFont val="Calibri"/>
        <family val="2"/>
        <scheme val="minor"/>
      </rPr>
      <t xml:space="preserve"> </t>
    </r>
    <r>
      <rPr>
        <b/>
        <sz val="11"/>
        <color theme="1"/>
        <rFont val="Calibri"/>
        <family val="2"/>
        <scheme val="minor"/>
      </rPr>
      <t>JUNIO</t>
    </r>
    <r>
      <rPr>
        <sz val="10"/>
        <color theme="1"/>
        <rFont val="Calibri"/>
        <family val="2"/>
        <scheme val="minor"/>
      </rPr>
      <t>: *ADQUISICION DE EQUIPOS PARA EL CONSULTORIO JURIDICO DE LA SEDE PITALITO DE LA USCO</t>
    </r>
  </si>
  <si>
    <r>
      <rPr>
        <sz val="10"/>
        <color theme="1"/>
        <rFont val="Calibri"/>
        <family val="2"/>
        <scheme val="minor"/>
      </rPr>
      <t xml:space="preserve">  </t>
    </r>
    <r>
      <rPr>
        <b/>
        <sz val="11"/>
        <color theme="1"/>
        <rFont val="Calibri"/>
        <family val="2"/>
        <scheme val="minor"/>
      </rPr>
      <t>MAYO</t>
    </r>
    <r>
      <rPr>
        <sz val="10"/>
        <color theme="1"/>
        <rFont val="Calibri"/>
        <family val="2"/>
        <scheme val="minor"/>
      </rPr>
      <t xml:space="preserve">: * ADQUISICION DE AIRES ACONDICIONADOS PARA LA SEDE LA PLATA DE LA USCO     </t>
    </r>
  </si>
  <si>
    <r>
      <rPr>
        <b/>
        <sz val="11"/>
        <color theme="1"/>
        <rFont val="Calibri"/>
        <family val="2"/>
        <scheme val="minor"/>
      </rPr>
      <t>MAYO:</t>
    </r>
    <r>
      <rPr>
        <sz val="11"/>
        <color theme="1"/>
        <rFont val="Calibri"/>
        <family val="2"/>
        <scheme val="minor"/>
      </rPr>
      <t xml:space="preserve"> *</t>
    </r>
    <r>
      <rPr>
        <sz val="10"/>
        <color theme="1"/>
        <rFont val="Calibri"/>
        <family val="2"/>
        <scheme val="minor"/>
      </rPr>
      <t xml:space="preserve">CONTRATACION DE PERSONAL PARA EL DESARROLLO DE ACTIVIDADES DE GESTION AMBIENTAL </t>
    </r>
  </si>
  <si>
    <r>
      <rPr>
        <b/>
        <sz val="11"/>
        <color theme="1"/>
        <rFont val="Calibri"/>
        <family val="2"/>
        <scheme val="minor"/>
      </rPr>
      <t>MAYO</t>
    </r>
    <r>
      <rPr>
        <sz val="11"/>
        <color theme="1"/>
        <rFont val="Calibri"/>
        <family val="2"/>
        <scheme val="minor"/>
      </rPr>
      <t>: *</t>
    </r>
    <r>
      <rPr>
        <sz val="10"/>
        <color theme="1"/>
        <rFont val="Calibri"/>
        <family val="2"/>
        <scheme val="minor"/>
      </rPr>
      <t>CONTRATACION DE PERSONAL PARA EL DESARROLLO DE ACTIVIDADES DE GESTION DE CALIDAD</t>
    </r>
  </si>
  <si>
    <t>Ponderado</t>
  </si>
  <si>
    <t>EFICACIA PONDERADA</t>
  </si>
  <si>
    <t>IV TRIMESTRE</t>
  </si>
  <si>
    <t>SEMÁFORO</t>
  </si>
  <si>
    <t>ESTADO DE AVANCE</t>
  </si>
  <si>
    <t>INTERPRETACIÓN</t>
  </si>
  <si>
    <t>PERIODO</t>
  </si>
  <si>
    <t>META PER. 2</t>
  </si>
  <si>
    <t>META PER. 1</t>
  </si>
  <si>
    <t>META PER. 3</t>
  </si>
  <si>
    <t>META PER. 4</t>
  </si>
  <si>
    <t>ASIGNADO PERIODO</t>
  </si>
  <si>
    <t>I TRIMESTRE POND.</t>
  </si>
  <si>
    <t>II TRIMESTRE POND.</t>
  </si>
  <si>
    <t>III TRIMESTRE POND.</t>
  </si>
  <si>
    <t>IV TRIMESTRE POND.</t>
  </si>
  <si>
    <t>PROYECCIÓN SOCIAL</t>
  </si>
  <si>
    <t>BIENESTAR UNIVERSITARIO</t>
  </si>
  <si>
    <t>1er Trimestre Subsistema Formación</t>
  </si>
  <si>
    <t>1 SEMESTRE</t>
  </si>
  <si>
    <t>Menor a 33%</t>
  </si>
  <si>
    <t>Se ha avanzado muy poco o nada en este indicador</t>
  </si>
  <si>
    <t>Nivel aceptable del indicador</t>
  </si>
  <si>
    <t>Nivel del indicador que cumple las expectativas</t>
  </si>
  <si>
    <t>Nivel del indicador que satisface y supera las expectativas</t>
  </si>
  <si>
    <t>Mayor o igual a 33% y menor a 75%</t>
  </si>
  <si>
    <t>Mayor o igual a 75% y menor que 100%</t>
  </si>
  <si>
    <t>SA-PY3.6</t>
  </si>
  <si>
    <t>Gestión de Seguridad y Salud en el Trabajo.</t>
  </si>
  <si>
    <t>DESCRIPCION EVIDENCIAS 3 TRIMESTRE</t>
  </si>
  <si>
    <t>• Elaboración propuesta de Concurso de poesía y ensayo para docentes.
• Elaboración proyecto PATI CON DOCENTES. 
• Encuentro con Facultades: Teleología institucional.</t>
  </si>
  <si>
    <t xml:space="preserve">• Reinducción TELEOLOGÍA estudiantes antiguos
• Apoyo a la realización de boletín informativo No. 3 Viceacademica
• Elaboración y grabación de video para rendición de cuentas
• Elaboración de informe reinducción estudiantes antiguos. </t>
  </si>
  <si>
    <t>• Diseño, elaboración y publicación oferta 2018 – 2 académicas en diario la nación.
• Oferta académica 2018 -2 En radio regional (Pitalito - Garzón -  La Plata).
• Apoyo a Coordinadores para promoción de oferta académica en región (Pitalito – Garzón – La Plata). 
• Actualización y publicación de video oferta académica 2018 – 2. 
• Elaboración, edición y publicación de video ingreso para comunidades indígenas. 
• Visitas a instituciones educativas del departamento del Huila.</t>
  </si>
  <si>
    <t>* Jornadas de inducción a miembros de la dirección académica y administrativa de la Universidad, particularmente integrantes del consejo Académico, de facultades y funcionarios administrativos. Soporte: Tabla de excel consolidado de participantes, presentación en Power Point informe de las capacitaciones, Listados de asistencia
Productos audiovisuales</t>
  </si>
  <si>
    <t>•	Con el apoyo de la Dirección General de Currículo, se ha desarrollado una propuesta curricular para la Cátedra Surcolombiana.
•	Se han realizado 5 encuentros con estudiantes interesados e interesadas en dinamizar la realización de la escuela.
•	Se ha definido como eje central, la defensa de la Universidad Pública. 
•	Se avanza en la organización y convocatoria de un encuentro de escuela para los días 9, 10 y 11 de noviembre.
•	Se avanza en la construcción de los módulos sobre contexto del sistema y funcionamiento de la Universidad Pública; Democracias; la universidad pública a los 100 años de la declaración de Córdoba; La Universidad vista desde el mercado; y, Descolonizar la universidad pública.
•	Se elaboró un informe que da cuenta de los resultados del Encuentro Nacional de Instituciones de Educación Superior, denominado ENEES. y que aporta a la construcción de la escuela porque se pudo reconocer las actuales discusiones estudiantiles de Instituciones de Educación Superior a nivel nacional, y, se recogieron insumos como lo es la defensa de la universidad pública, la crisis de financiación de las instituciones de educación superior y la agenda nacional para la deliberación.</t>
  </si>
  <si>
    <t>•	La apertura se realizó el 17 de agosto del 2018 con la participación de 50 docentes inscritos y antiguos de la Universidad Surcolombiana y de sus diferentes facultades
•	Se realizó una tertulia pedagógica el 31 de agosto de 2018 en el que se socializaron los resultados de los trabajos investigativos de los grupos internos de la EFP
•	Se realizó la conferencia a cargo del Dr. Fayad contó con la participación de docentes y estudiantes de la Facultad de Educación en donde se trataron los principales aportes  de la pedagogía en la formación docente
•	Se realizó una tertulia pedagógica el 14 de septiembre de 2018 en el que se socializaron los resultados de los trabajos investigativos de los grupos internos de la EFP
•	Se realizó una tertulia pedagógica el 28 de septiembre de 2018 en el que se realizó un conversatorio con estudiantes y docentes sobre las particularidades de la docencia universitaria</t>
  </si>
  <si>
    <t>•	CP 029 VIATICOS PARA ASISTIR A CURSO DE CAPACITACION SERVIDOR MAS EXTENDIDO
•	CP 029 VIATICOS CON EL FIN DE PARTICIPAR COMO PONENTE EN EL CONGRESO INTERNACIONAL DE EDUCACION Y APRENDIZAJE
•	CP 029 VIATICOS Y PASAJES TERRESTRES PARA ASISTIR A SEMINARIO DE DISCURSO ACADEMICO Y GENEROS TEXTUALES
•	CP 029 VIATICOS PARA PARTICIPAR EN BIENAL INTERNACIONAL
•	CP 029 MATRICULA DIPLOMADO EN DOCENCIA UNIVERSITARIA
•	CP 029 VIATICOS PARA ASISTIR AL XXV CONGRESO DE PREVENCION Y ATENCION DEL MALTRATO INFANTIL
•	CP 029 VIATICOS PARA ASISTIR AL XXV CONGRESO DE PREVENCION Y ATENCION DEL MALTRATO INFANTIL
•	CP 029 VIATICOS PARA PARTICIPAR DEL XIV CONGRESO DE LA ASOCIACION LATINOAMERICANA DE INVESTIGADORES
•	CP 029 PASAJES AEREOS CON EL OBJETO DE PARTICIPAR EN EL XXV CONGRESO COLOMBIANO DE MEDICINA INTERNA
•	CP 029 VIATICOS, INSCRIPCION Y TRANSPORTE A LADYS JIMENEZ TORRES QUIEN PARTICIPARA EN ACTIVIDAD DE INVESTIGACION EN MEDELLIN
•	CP 029 INSCRIPCION, Y PASAJES AEREOS CON EL FIN DE ASISTIR A SIMPOSIO NACIONAL DE MECANICA
•	CP 029 VIATICOS CON EL FIN DE ASISTIR A CONGRESO DE LA ASOCIACION INTERNACIONAL DE ECOLOGIA Y SALUD 
•	CP 029 VIATICOS CON EL OBJETO DE PARTICIAPAR DE CONGRESO COLOMBIANO DE MEDICINA INTERNA
•	CP 029 VIATICOS CON EL FIN DE PARTICIPAR DEL XXV CONGRESO COLOMBIANO DE MEDICINA INTERNA A REALIZARSE EN CALI
•	CP 029 INSCRIPCION, PASAJES AEREOS Y VIATICOS
•	CP 095 EXCD. FEA - INSCRIPCION, PASAJES AEREOS Y VIATICOS
•	CP 029 VIATICOS CON EL FIN DE DESPLAZARSE A CARTAGENA
•	CP 095 EXC. FEA - VIATICOS CON EL FIN DE DESPKAZARSE A CARTAGENA
•	CP 029 VIATICOS PARA PARTICIPAR EN SIMPOSIO NACIONAL EN MECANICA DE MATERIALES
•	CP 029 APOYO PARA VIATICOS A JONATHAN BEDOYA CON EL FIN DE PARTICIPAR EN CONGRESO DE V CONGRESO DE CIENCIA
•	CP 029 VIATICOS INSCRIPCION Y TRANSPORTE A FIDERNANDO ANTURY
•	CP 029 INSCRIPCION A EDILBERTO SUAZA PARA ASISTIR A VII CONGRESO DE ASOCIACION INTERNACIONAL DE ECOLOGIA Y SALUD 
•	CP 029 APOYO ECONOMICO PARA MATRICULA A MANUEL ORTIZ PARA DIPLOMADO EN LA FACULTAD DE EDUCACION
•	CP 029 PAGO DE INSCRIPCION PARA REALIZAR CURSO MATERIALES DIDACTICOS: LENGUAJE Y MEDICIONES PARA LA ENSEÑANZA
•	CP 029 VIATICOS Y PÁSAJES TERRESTRES CON EL FIN DE ASISTIR AL VII CONGRESO DE ASOCIACION INTERNACIONAL 
•	CP 029 VIATICOS Y PASAJES TERRESTRES CON EL FIN DE ASISTIR AL VII CONGRESO DE LA ASOCICION INTERNACIONAL DE ECOLOGIA
•	CP 029 VIATICOS PARA PARTICIPAR EN CONGRESO EN HOUSTON TEXAS 
•	CP 029 PAGO DE INSCRIPCION A DIPLOMADO EN DOCENCIA UNIVERSITARIA PARA DIEGO ANDRES MORALES
•	CP 029 VIATICOS Y PASAJES AEREOS PARA ASISTIR A LA ACTIVIDAD ACADEMICA
•	CP 029 VIATICOS Y PASAJES TERRESTRES PARA ASISTIR A XXV CONGRESO COLOMBIANO DE MEDICINA
•	CP 029 VIATICOS E INSCRIPCION CON EL FIN DE ASISTIR AL XI CONGRESO INTERNACIONAL DE DERECHO PROCESAL
•	CP 029 VIATICOS Y PASAJES TERRESTRES CON EL FIN DE ASISTIR A VII CONGRESO DE ASOCIACION INTERNACIONAL PARA LA ECONOMIA
•	CP 029 VIATICOS PARA PARTICIPAR COMO PONENTE A LA XIII SEMANA TECNICA DE GEOLOGIA
•	CP 029 VIATICOS A LUIS FERNANDO DURAN CON EL FIN DE PARTICIPAR EN EL XXV CONGRESO COLOMBIANO DE MEDICINA INTERNA CALI
•	CP 029 VIATICOS PARA PARTICIPAR EN EL III CONGRESO DE COMUNICACIÓN SOCIAL DE AMERICA LATINA
•	CP 029 PASAJES AEREOS CON EL FIN DE PARTICIPAR EN EL VII CURSO DE ENTRENAMIENTO PARA INSTRUCTORES EN SIMULACION
•	CP 029 VIATICOS Y TRANSPORTE PARA NOHORA MONTERO QUIEN ASISTIRA A XXIV SEMINARIO INTERNACIONAL DE BIOETICA - NOHORA MONTERO GARCIA
•	CP 029 VIATICOS A FREDY HUMBERTO ESCOBAR PARA PARTICIPAR EN CONFERENCIA SPE ACTE 2018 A REALIZARSE EN DALLAS TEXAS
•	CP 029 VIATICOS A DANIEL RIVERA PARA PARTICIPAR EN EL XII CONGRESO DE ANESTESIOLOGIA Y REANIMACION PEDIATRICA 
•	CP 029 VIATICOS Y PASAJES TERRESTRES CON EL FIN DE PARTICIPAR EN EL II COLOQUIO INTERNACIONAL DE COMUNICACIÓN
•	CP 029 PARTICIPAR EN EL IV CONGRESO NACIONAL E INTERNACIONAL DE NEUROCIENCIAS Y NEUROPSICOLOGIA
•	CP 029 INSCRIPCION PARA PARTICIPAR COMO ASISTENTE EN EL VII CONGRESO INTERNACIONAL DE EDUCACION
•	CP 029 INSCRIPCION PARA PARTICIPAR COMO ASISTENTE EN EL VII CONGRESO INTERNACIONAL DE EDUCACION
•	CP 029 INSCRIPCION PARA PARTICIPAR COMO ASISTENTE EN EL VII CONGRESO INTERNACIONAL DE EDUCACION
•	CP 029 INSCRIPCION PARA PARTICIPAR COMO ASISTENTE EN EL VII CONGRESO INTERNACIONAL DE EDUCACION
•	CP 029 DESARROLLAR ACTIVIDADES ACADEMICAS PARTICIPAR EN II CONGRESO
•	CP 029 VIATICOS Y PASAJES TERRESTRES CON EL FIN DE PARTICIPAR COMO PONENTE EN EL XXI ENCUENTRO NACIONAL DE INVESTIGACION
•	CP 029 VIATICOS CON EL FIN DE DESPLAZARSE A LA CIUDAD DE LA PLATA ARGENTINA PARA PARTICIPAR COMO PONENTE
•	CP 029 VIATICOS E INSCRIPCION CON EL FIN DE PARTICIPAR CON PONENCIA
•	CP 029 VIATICOS CON EL FIN DE ASISTIR AL XXXIV CONGRESO COLOMBIANO DE DERECHO PROCESAL
•	CP 029 VIATICOS Y PASAJES TERRESTRES CON EL FIN DE PARTICIPAR COMO PONENTE AL III ENCUENTRO NACIONAL DE INVESTIGACION
•	CP 029 VIATICOS Y PASAJES TERRESTRES PARA ASISTIR AL XXI CONGRESO ESTADO ACTUAL EN ENFERMEDADES CARDIACAS
•	CP 029VIATICOS Y PASAJES AEREOS CON EL FIN DE PARTICIPAR EN EL CONGRESO INTERNACIONAL 2018 
•	CP 029 VIATICOS PARA PARTICIPAR EN EL CONCURSO INTERNACIONAL DE UROLOGIA QUE SE REALIZARA EN LA CIUDAD DE CARTAGENA
•	CP 029 VIATICOS Y PASAJES AEREOS PARA ASISTIR A LA PRESENTACION DE 6 POSTER EN EL XV CONGRESO COLOMBIANO
•	CP 029 MANUTENCION Y PASAJES TERRESTRES PARA PARTICIPAR EN EL EVENTO ENSEÑANZA E INVESTIGACION DE LAS POLITICAS PUBLICAS
•	CP 029 VIATICOS PARA PARTICIPAR CON PONENCIA CARACTERIZACION DE ESTUDIANTES DE LA FEA
•	CP 029 VIATICOS Y PASAJES TERRESTRES CON EL FIN DE PARTICIPAR COMO ASISTENTE EN VII CONGRESO INTERNACIONAL
•	CP 029 VIATICOS Y PASAJES PARA PARTICIPAR COMO ASISTENTE EN EL VII CONGRESO INTERNACIONAL DE EDUCACION ABRAPALABRA
•	CP 029 VIATICOS Y PASAJES TERRESTRES PARA PARTICIPAR COMO ASISTENTE EN EL VII CONGRESO INTERNACIONAL DE EDUCACION ABRAPALABRA
•	CP 029 VIATICOS Y PASAJES TERRESTRES PARA PARTICIPAR COMO ASISTENTE EN EL VII CONGRESO INTERNACIONAL DE EDUCACION ABRAPALABRA
•	CP 029 VIATICOS Y PASAJES AEREOS PARA ASISTIR A LA XII FIESTA DEL LIBRO Y LA CULTURA Y IX CONGRESO INTERNACIONAL
•	CP 029 VIATICOS Y PASAJES AEREOS CON EL FIN DE ASISTIR AL SIMPOSIO INTERNACIONAL SOBRE CENTROS DE ESCRITURA
•	CP 029 VIATICOS Y PASAJES AEREOS PARA ASISTIR AL III SEMINARIO INTERNACIONAL PROFESIONAL DEVOLOMENT
•	CP 029 VIATICOS Y PASAJES AEREOS PARA ASISTIR COMO PONENTE EN EL DESARROLLO DE COMPETENCIAS INVESTIGATIVAS
•	CP 029 VIATICOS Y PASAJES TERRESTRES PARA ASISTIR A LA XXXII FERIA INTERNACIONAL DE BOGOTA
•	CP 029 VIAICOS PARA PARTICIPAR EN EL 2018 SPE ANNUAL TECNICAL CONFERENCE AND EXIBITION
•	CP 029 VIATICOS Y PASAJES TERRESTRES PARA PARTICIPAR EN EL IX CONGRESO LATINOAMERICANO DEL CARIBE
•	CP 029 INSCRIPCION PARA ASISTIR COMO PONENTE AL ASOCOPI ANNUAL CONFERENCE
•	CP 029 VIATICOS PARA PARTICIPAR COMO POPNENTE MAGISTRAL A CONGRESO LATINOAMERICANO Y DEL CARIBE
•	CP 029 INSCRIPCION CON EL FIN DE REALIZAR CURSO DE PROGRAMA DE FORMACION DE AUDITORES INTERNOS ISO
•	CP 029 VIATICOS Y PASAJES TERRESTRES PARA ASISTIR A CONFERENCIA COLOMBIANA DE USUARIO ESRI
•	CP 029 PASAJES AEREOS PARA ASISTIR COMO PONENTE AL II CONGRESO LATINOAMERICANO DE INVESTIGACION Y EDUCACION
•	CP 029 INSCRIPCION, PASAJES AEREOS Y VIATICOS PARA PARTICIPAR EN FERIA DE BOGOTA
•	CP 029 INSCRIPCION OLINE EN LA PLATAFORMA DE LA UNIVERSIDAD TECNICA DE VALENCIA ESPAÑA
•	CP 029 INSCRIPCION OLINE EN LA PLATAFORMA DE LA UNIVERSIDAD TECNICA DE VALENCIA ESPAÑA
•	CP 029 INSCRIPCION PARA PARTICIPAR EN LA PRIMERA CUMBRE DEL PETROLEO 
•	CP 118 EXCD. FED - DESARROLLO PROFESORAL PERMANTENE - CAPACITACION DOCENTE
•	CP 029 APOYO COMPRA DE TIQUETES BRASIL-BOGOTA-BRASIL PARA PARTICIPAR EN EVENTO CAFES DE COLOMBIA
•	CP 140 EXCD. FACIEN - PARTICIPACION DE HERNANDO GONZALES EN CONGRESO INTERNACIONAL
•	CP 140 EXCD. FACIEN - PARTICIPACION DE FRANCIS SEGOVIA COMO PONENTE EN CONGRESO DE FISICA
•	CP 029 INSCRIPCION PARA ASISTIR AL EVENTO EXPOTECNOLOGIA A REALIZARSE EN CARTAGENA
•	CP 029 VIATICOS INSCRIPCION Y PASAJES TERRESTRES PARA ASISTIR A FESTIVAL DE MANIZALEZ
•	CP 029 VIATICOS PARA ASISTIR COMO PONENTE
•	CP 029 VIATICOS PARA PARTICIPAR EN EL VII CURSO DE ENTRENAMIENTO PARA INSTRUCTORES EN SIMULACION MEDICA
•	CP 029 VIATICOS, INSCRIPCION Y PASAJES TERRESTRES PARA ASISTIR A EVENTO A CARTAGENA
•	CP 029 VIATICOS, INSCRIPCION Y PASAJES TERRESTRES PARA ASISTIR A EVENTO A CARTAGENA
•	CP 029 PASAJES AEREOS CON EL FIN DE ASISTIR COMO PONENTE A CONGRESO INTERNACIONAL CUBAMOTRICIDAD 2018
•	CP 029 VIATICOS Y PASAJES AEREOS PARA ASISTIR A II CONGRESO NACIONAL DE CUIDADO EN ENFERMERIA
•	CP 029 VIATICOS Y TRANSPORTE TERRESTRE A RUT DIAZ CON EL FIN DE DESPLAZARSE A CALI PARA ASISTIR A EVENTO DE ENFERMERIA
•	CP 029 VIATICOS Y TRANSPORTE TERRESTRE A CALI A YIBI SALAZAR PARA ASISTIR A EVENTO A ACADEMICO DE ENFERMERIA
•	CP 029 VIATICDOS CON EL FIN DE ASISTIR A LA 18 BIENAL MEETING OF THE EUROPEAN
•	CP 029 INSCRIPCION Y PASAJES AEREOS PARA ASISTIR A VIII CONGRESO MUNDIAL DE ESTILOS DE APRENDIZAJE
•	CP 029 PASAJES AEREOS CON EL FIN DE PARTICIPAR COMO PONENTE EN EL CONGRESO MUNDIAL SOBRE LA INFANCIA
•	CP 029 INSCRIPCION CON EL FIN DE PARTICIPAR EN EL SEMINARIO ASPECTOS PRACTICOS EN IMPLEMENTACION DE MODELO INTEGRAL
•	CP 029 VIATICOS, INSCRIPCION Y PASAJES AEREOS CON EL FIN DE ASISTIR A XXII SEMIANRIO INTERNACIONAL DE CUIDADO</t>
  </si>
  <si>
    <t>Se desarrollaron el nivel I, II, IV, V, VI y Academic W con un total de 97 inscritos de los cuales se certificaron 54 docentes. El desarrollo de los curso de realizó del 31 de mayo al 22 de julio. Con el objetivo de promover en los docentes de planta de la universidad Surcolombiana el desarrollo de la competencia comunicativa en inglés que les permita una formación más integral, con mayores oportunidades de acceso al conocimiento y a otras culturas.</t>
  </si>
  <si>
    <t>Conferencia el Maestro como consejero Pedagógico a cargo de la Dra. Gina Jiménez Castilla de la Universidad del Norte realizada el 26 de julio de 2018 con la participación de 103 docentes de las diferentes facultades de la Universidad Surcolombiana.</t>
  </si>
  <si>
    <t>•	Para el segundo semestre se ajustó la estrategia de jornadas pedagógicas por lo que durante el periodo 20182 se realizará un ejercicio de Escuela en el cuarto trimestre que espera contar con la asistencia de los estudiantes.
•	En la comisión, se viene desarrollando con la participación y aporte de estudiantes, administrativos y docentes.</t>
  </si>
  <si>
    <t>•	Búsqueda, análisis y consolidación de información de la Especialidad en Anestesiología y Reanimación:
•	Lista de profesores con tipo de vinculación (USCO y Hospital).
•	Presentación de cada programa con fortalezas y oportunidades de mejora.
•	Producción intelectual sólo NUEVO CONOCIMIENTO (Libros, Capítulos de Libros, entre otros).
•	Plan de Mejoramiento Institucional y de cada programa
•	Trabajo de Campo en el Hospital Universitario Hernando Moncaleano Perdomo para completar los requerimientos de completitud de la información de la especialidad en Anestesiología y reanimación.
•	Calculo de la Deserción del programa de Especialidad en Anestesiología y Reanimación.
•	Elaboración grafica Utilización de salones Programa de Psicología (Con matriculados 1er semestre).
•	Revisión PEP programa de Anestesiología y Reanimación.
•	Actualización de información para Renovación de Registro Calificado Contaduría Pública (inversión en infraestructura y dotación del programa)
•	Actualización de información estadística en el documento de condiciones institucionales con fines de Registro Calificado.
•	Elaboración diapositivas para la presentación del seminario de Planeación Estratégica con el Dr. Álvaro Zapata.
•	Participación al seminario de Planeación Estratégica con el Dr. Álvaro Zapata.
•	Búsqueda, análisis y consolidación de información para el Cuadro de condiciones iniciales de Acreditación Especialidad en Anestesiología y Reanimación
•	Asistencia a las diferentes reuniones de: Asistencia a reuniones convocadas por la Rectoría y la Vicerrectoría Académica para el seguimiento al Plan de Mejoramiento Institucional.
•	Búsqueda de información y elaboración tabla de la tasa de deserción del programa de Enfermería (Serie histórica)
•	Trabajo de Campo en el Hospital Universitario Hernando Moncaleano Perdomo para completar los requerimientos de completitud de la información de la especialidad en Anestesiología y reanimación.
•	Descarga y envío de la información de deserción para las especialidades Clínicas a los compañeros de Aseguramiento de la Calidad.
•	Búsqueda de información y elaboración de cuadros estadísticos para el programa de Ingeniería Agrícola Sede Garzón: Profesores Programa, Recursos informáticos al servicio del Programa, Universidades que ofertan Ingeniería Agrícola en Colombia, Graduados Ingeniería Agrícola Departamento del Huila, Estudiantes Admitidos al Programa, Relación base de datos por unidades académicas, Servicios de bienestar universitario ofrecido a los estudiantes del Programa., Búsqueda de información y elaboración de cuadros estadísticos para dar respuesta a la vice: Deserción Anual conteo y por porcentajes
•	Serie Histórica (2012-2017) de información bajada de la plataforma institucional de información, datos de inscritos, admitidos y matriculados por primera vez a la Universidad Surcolombiana.
•	Construcción de Cuadros para dar respuesta a los requerimientos realizados por los pares evaluativos del proceso de acreditación del programa. 
•	Búsqueda de información y elaboración de Cuadro para para dar respuesta a los requerimientos realizados por los pares evaluativos del proceso de acreditación del programa. 
•	Búsqueda de información y elaboración de Cuadro para dar respuesta a los requerimientos realizados por los pares evaluativos del proceso de acreditación del programa.</t>
  </si>
  <si>
    <t xml:space="preserve">
•	Durante el transcurso del mes de julio se realizó el diseño e impresión de los cronogramas de formación del programa Semestre Cero.
•	De igual manera se hizo entrega de los cronogramas a los estudiantes de primer semestre durante su matrícula.
•	Organización e impresión del material de asistencias de los 27 programas académicos.
•	Se desarrolló la reunión para la organización logística con los 21 monitores del programa de Literatura y Lengua Castellana y Licenciatura en matemáticas
•	Diseño de ruta de acción para recibir a los aproximadamente mil estudiantes.
•	Durante el transcurso del 23 de julio y el 3 de agosto se desarrolla el fortalecimiento de las habilidades en Comprensión de Lectura y Matemáticas de los aproximadamente mil estudiantes que ingresaron al primer semestre en el periodo 2018-2.
•	De igual manera durante el transcurso de los días de formación se desarrollaron los talleres de Consejerías Académicas y Taller Soy Surcolombiano.
•	El 23 de julio se realizó la conferencia de bienvenida a los estudiantes. Los 21 monitores dieron inicio a los talleres.
•	El día 2 y 3 de agosto se aplicó una encuesta a 10 estudiantes de cada uno de los programas académicos.
•	Durante el transcurso de estas semanas, se crean y organizan los formatos de sistematización para que los monitores ingresen la información de cada uno de los estudiantes.
•	También se realiza la sistematización y digitalización de las asistencias de los siete días de formación.
•	Se entrega a la oficina de talento humano la relación de los monitores que se comprometieron a desarrollar las actividades a del proyecto Semestre Cero, esto con el objetivo de adelantar los trámites administrativos para su posterior reconocimiento económico. 
•	Sistematización de la encuesta realizada a los estudiantes de primer semestre.
•	Durante el transcurso de las 16 semanas de duración del semestre académico se realiza un continuo acompañamiento pedagógico en estas asesorías se fortalecía el proceso y se analizaba el progreso de cada uno de los estudiantes.  Durante el trascurso de este mes se realiza la primera revisión de la documentación que deben diligenciar los estudiantes.
•	Realización de trámites para el desarrollo de la actividad académica remunerada “Aprestamiento en habilidades matemáticas” desarrollada por el profesor Johnny Fernando Alvis.</t>
  </si>
  <si>
    <t>•	Taller de interpretación pedagógica de resultados examen Saber Pro 2017 en el marco del consejo ampliado:
12 de julio de 2018 2:30 pm – 5:00 pm de la Facultad de Educación.
25 de julio de 2018 2:30 pm – 5:00 pm de la Facultad de Salud.
30 de julio de 2018 3:00 pm – 5:00 pm de la Facultad de Ingeniería.
08 de agosto de 2018 3:00 pm – 5:00 pm de la Facultad Economía y Administración.
09 de agosto de 2018 10:30 am – 12:00 m de la Facultad de Ciencias Jurídicas y Políticas.
09 de agosto de 2018 2:30 pm de la Facultad de Ciencias Sociales y Humanas.
10 de septiembre de 2018 2:30 pm – 3:30 pm de la Facultad de Ciencias Exactas y Naturales.
•	En el mes de julio y agosto con base en la asistencia a las actividades realizadas por el proyecto Saber Pro en el periodo intersemestral se generaron los certificados para los profesores de planta adscritos a los diferentes programas académicos de la Universidad Surcolombiana.
Salón 203 de la facultad de Economía y Administración, Acompañamiento al programa de Administración de Empresas.
Oficina Educación Infantil, Acompañamiento al programa de Educación Infantil.
Conforme a lo solicitado se elaboró un documento con contenido pertinente del proyecto Formación para el Fortalecimiento de las Competencias Genéricas
(Saber Pro) para la creación de un espacio en la página web de la vicerrectoría Académica.
Elaboración de links de inscripción, cronograma de trabajo, trámite administrativo para la contratación del tallerista-conferencista Antonio Roveda H. Y logística.
•	Con el objetivo de analizar las competencias que mejoraron por programa se elaboró un informe estadístico de los promedios de cada competencia genérica y el promedio general de los resultados Saber Pro de todos los programas académicos.
•	Soportes: Anexo Excel, PARTICIPACIÓN Taller interpretación pedagógica de resultados examen Saber Pro-2018. Enlace producto audiovisual, https://drive.google.com/file/d/1SP83wBwA6pw568VSXFjOSwUPq8Hc0MT8/view?ts=5bbe4fd0, Anexo drive: https://docs.google.com/document/d/1FCJdMXuBbmlf4S22B7Vpc5koedSZVYbtTGBzzhGQJ40/edit
•	Anexo, Informes de Formación para el Fortalecimiento de las Competencias Genéricas
•	(Saber Pro) – FORMACIÓN DOCENTE.
•	Anexo documento, INFORMACIÓN PARA PAGINA WEB VICERRECTORIA ACADÉMICA
•	Anexo Excel, PROPUESTA DE CONFORMACIÓN DE GRUPOS, TALLERES EN CONSTRUCCIÓN DE ITEMS SABER PRO.</t>
  </si>
  <si>
    <t>• Se realizó acompañamiento a estudiantes en riesgo alto de abandono. Soporte: Registro de seguimientos, que reposa en el archivo de consejerías académicas.
• Se realizó acompañamiento técnico al Comité Interinstitucional para la permanencia, retorno y graduación el estudiantado indígena de la Universidad Surcolombiana. Soporte: Listado de asistencia y acta que reposa en el archivo de la vicerrectoría académica.
• Acompañamiento técnico docentes consejeros del programa de derecho. Soporte: Material de divulgación de rutas de atención. (Ver carpeta de soportes digital).
• Redacción de propuesta de modificación del capítulo VIII Consejerías Académicas del
• Manual de convivencia, en el que se propone un lineamiento para su funcionamiento, así como, para la selección de docentes consejeros/as. Así mismo se asistieron a reuniones de socialización y retroalimentación del documento con el equipo designado para la revisión del Manual de Convivencia.
• Se desarrolló mesa de trabajo ampliada del comité Interinstitucional para la permanencia, graduación y retorno del estudiantado indígena, con el fin de realizar propuestas a desarrollar en el documento de propuesta de Política de Inclusión de la universidad surcolombiana, contando con el apoyo del CRIHU y sus asesores en etnoeducación, así como la participación activa del CIUSCO. Soporte: Listado de asistencia que reposa en el archivo de la vicerrectoría académica.
• Socialización de información referente a la convocatoria del fondo de relación de víctimas. Se hizo un importante esfuerzo de convocatoria para brinda la información, así como un ejercicio de divulgación de elementos relevantes de la convocatoria. Así mismo, se acompañó a cada uno de los estudiantes en el proceso de realización de inscripción. Soporte: Correos electrónicos y piezas comunicativas (ver carpeta de soportes digitales).</t>
  </si>
  <si>
    <t>• Actividades de apoyo a la política de permanencia y graduación estudiantil.
• Adquisición de equipos de cómputo y oficina para apoyo a la política de inclusión, permanencia y graduación.
• Apoyo económico para sufragar gastos de transporte terrestre a dos ponentes que participaran en encuentro.</t>
  </si>
  <si>
    <t>•	Se cuenta con un documento borrador de Caracterización de barreras para la permanencia y graduación de estudiantes afrodescendientes, Víctimas de conflicto armado, LGBTI y Mujeres.
•	Se avanza en la revisión del documento de Política de Inclusión por parte del Comité.
•	Se avanza en la construcción de plan de mejoramiento de los índices de inclusión por subsistemas de la Universidad.
•	Asesorías Individuales orientadas a estudiantes víctimas del conflicto armado ante situaciones de riesgo académico.
•	Asesorías Individuales orientadas a estudiantes indígenas ante situaciones de riesgo académico.
•	Soporte: Documento borrador de caracterización: Metodología del espacio grupal, Listado de asistencia, Registro fotográfico, Matriz Plan de Mejoramiento, Matriz de seguimiento asesorías individuales.</t>
  </si>
  <si>
    <t>•	Se aplicaron dos instrumentos a los participantes, así: el primero con relación a los escenarios prácticos donde el estudiantado manifestaba si se presentaba o no los elementos expuestos de cada categoría. 4 macro escenarios donde se presenta la democracia deliberativa; 7 macro escenarios donde no se presenta la democracia deliberativa y 4 macro escenarios donde no se presenta la ética cívica y convivencia.
•	En el Segundo, se realizaban propuestas de reforma al manual de convivencia sobre los capítulos relacionados a la categoría abordada (Democracia Deliberativa - Capítulo X Organización Estudiantil y Estatutos CSE; y, Ética Cívica &amp; Convivencia - Capítulos V y IX); propuestas realizadas por estudiantes participantes a las jornadas pedagógicas. En total son 10 propuestas de reforma al capítulo X del manual de convivencia, y 13 propuestas de reforma a los estatutos del consejo superior estudiantil, en el marco de la democracia deliberativa. Por otro lado, 11 propuestas de reforma a los capítulos V y IX del manual de convivencia, en el marco de la ética cívica y convivencia.
•	Por otro lado, se viene participando en la comisión que desarrolla la propuesta de ajuste al manual de convivencia, desde el semestre 2018-2  se han revisado desde el I capítulo hasta el VI</t>
  </si>
  <si>
    <t>•	Revisión del normograma de la institución en donde se estable la normatividad en materia de estatuto de los profesores.</t>
  </si>
  <si>
    <t>•	"Escritura del documento. 
•	Socialización en el equipo de currículo y los representantes de autoevaluación de Programas. 
•	Socialización en el Comité Central de Currículo.  
•	Socialización en el Consejo Académico.  Está pendiente la aprobación definitiva por el Consejo Académico; lo acordado fue que los decanos lo socializarían en las Facultades para retroalimentarlo. 
•	El documento de política está acompañado de los documentos que contiene las metodologías para evaluar y reformar los currículos.
•	No se ha aplicado en los programas por cuanto no se ha aprobado; pero en los programas que han requerido para Acreditarse o renovar la Acreditación se les ha acompañado y orientado.  
•	Se diseñó y se envió un modelo de la estructura que debe tener un Proyecto Educativo de Programa. No obstante, en reciente reunión de vicerrectorías y direcciones académicas promovidas por ASCUN; la orientación es que lo requerido a los programas debe ser los documentos maestros. 
•	Se diseñó y se envió un modelo de la estructura que debe tener un Proyecto Educativo de Programa. No obstante, en reciente reunión de vicerrectorías y direcciones académicas promovidas por ASCUN; la orientación es que lo requerido a los programas debe ser los documentos maestros.</t>
  </si>
  <si>
    <t>•	Socialización en Consejo de Facultad de Ingeniería Acuerdo 01 de 2018	En el Consejo de Facultad de Ingeniería del día 3 de septiembre, se realizó la socialización de la nueva normativa sobre los procesos de Aseguramiento de la Calidad. 
•	Consolidar Plantilla de la RUAM La Red de Universidades del Alto Magdalena ha solicitado una caracterización de la Institución a través de una plantilla que han diseñado para su completitud. 
•	Realizar comentarios a la propuesta de “Política de Aseguramiento de la Calidad” USCO, Se proyectó la Política de Aseguramiento de la Calidad para la Universidad Surcolombiana. Se hizo la lectura de la Política en el contexto de la nueva normativa institucional y se realizaron los comentarios pertinentes.
•	Revisión de ejecución presupuestal proyectos del Plan de Mejoramiento Institucional. Junto a la Oficina Asesora de Planeación, se realizó la revisión de la ejecución de los proyectos vinculados en el Plan de Acción 2018 y que corresponden al Plan de Mejoramiento Institucional, con el fin de presentar el informe al Comité de Acreditación Institucional.
•	Construcción matriz de interrelación Recomendaciones de resolución 1233 de 2018, Plan de mejoramiento institucional y Plan de Desarrollo	
•	Producto del Seminario en Planeación Estratégica con énfasis en Aseguramiento de la Calidad, liderado por el Dr. Álvaro Zapata, se solicitó la construcción de una matriz que diera cuenta de las recomendaciones emitidas por los Pares Académicos (Para el proceso de Acreditación Institucional), las recomendaciones que vienen estipuladas en la Resolución No. 11233 de 2018 de Acreditación Institucional, Plan de Mejoramiento y Plan de Desarrollo, con el fin de que en la propuesta de ajuste al Plan de Desarrollo y Plan de Mejoramiento Institucional sean incorporadas.
•	Ajustes a Plan de Mejoramiento Institucional con los subsistemas de Plan de Desarrollo. De acuerdo con las nuevas exigencias emitidas mediante el Acuerdo 01 de 2018 del CESU, y la propuesta de ajuste a Plan de Desarrollo Institucional que viene liderando la oficina Asesora de Planeación, se han realizado una serie de sesiones de trabajo con los líderes de los subsistemas para ajustar Proyectos, Acciones, Indicadores, Metas y Costos.
•	Participación del Taller “Interpretación de Resultados de Exámenes Saber Pro y Saber TyT. El ICFES, desarrolló un taller denominado “Interpretación de Resultados de los Exámenes Saber Pro y Saber TyT”, participamos con los compañeros de la Vicerrectoría Académica para revisarlos a la luz de las nuevas exigencias en materia de Autoevaluación Institucional. 
•	Socialización en Consejo de Facultad de Ciencias Sociales y Humanas Acuerdo 01 de 2018. En el Consejo de Facultad de Ciencias Sociales y Humanas del día 13 de septiembre, se realizó la socialización de la nueva normativa sobre los procesos de Aseguramiento de la Calidad. 
•	Consolidar con el Jefe de Aseguramiento de la Calidad, la proyección de necesidades y presupuesto para el 2019. Teniendo en cuenta la solicitud de la División Financiera, para proyectar el primer borrador de presupuesto de la universidad para el año 2019, se consolidaron y presupuestaron las necesidades de los dos grupos de trabajo de la Oficina de Aseguramiento de la Calidad.
•	Construcción formato de Evaluación al Seguimiento a Plan de Mejoramiento Institucional. Desde el acompañamiento en la etapa de construcción del Plan de Mejoramiento Institucional, se definió una evaluación al seguimiento del Plan con una periodicidad semestral. Por ende, se estableció dicho formato y se ha venido trabajando con los líderes de los Subsistemas en el diligenciamiento, con el fin de presentarlo a la Visita Externa de ICONTEC y al Comité de Acreditación Institucional.
•	Construcción Documento Plantillas Institucionales basadas en las matrices de valoración del documento “Referentes de Calidad” Teniendo en cuenta el Documento emanado por el MEN “Referentes de Calidad”, donde se establecen unas matrices de valoración para las 10 condiciones de Calidad establecidas en los lineamientos para Acreditación Institucional (Acuerdo 01 de 2018), se organizó la matriz para cada condición y se complementó con el tipo de insumo requerido por característica a evaluar.</t>
  </si>
  <si>
    <t>Informe que establece tres criterios para establecer las necesidades de vinculación de docentes. 
Dentro de los criterios el estudio establece:
•	Consolidado del total de la planta docente de la USCO por programas y facultades a corte de dic 2017.
•	Informe de relación N de plantas docentes / Estudiantes partiendo de la media Nacional, de tal forma que se establecen criterios. 
•	Pertinencia de los Programas a partir de la revisión de comportamiento de inscripción a los programas</t>
  </si>
  <si>
    <t>• Plan de Acción de las estrategias que se van a desarrollar para el cuarto trimestre del 2018.</t>
  </si>
  <si>
    <t>• Trámites para continuidad de la realización de Judicaturas en la Universidad Surcolombia, que se venían realizando en el 2018-2</t>
  </si>
  <si>
    <t xml:space="preserve"> RESUMEN BOLSA DE EMPLEO AÑO 2018
• EMPLEADORES INSCRITOS 2018: 42
• OFERTAS VACANTES 2018: 78
• HOJAS DE VIDA REGISTRADAS 208: 545
• CONTRATADOS 2018: 12</t>
  </si>
  <si>
    <t xml:space="preserve">• Se asistió a todas las reuniones programadas  por rectoría vicerrectoría académica y demás • Asesoría y acompañamiento a las facultades  en el tema de  acreditación y renovación de registro calificado   
• Coordinación del primer encuentro de graduados  destacados de la universidad para el día </t>
  </si>
  <si>
    <t>• Adquisición de equipos de cómputo para dirección de centro de graduados
• Adquisición de material para impresión de carnets para los graduados de la usco, techno trade Ltda.</t>
  </si>
  <si>
    <t>Se adquirieron 3 equipos para la investigación y mantenimiento de una (1) UPS:
1. Computador portátil HP ProBook 440 G4, Intel CoreTM ¡5- 7200U, WindowsR 10 Profesional 64, No, RT bgn 1x1 +BT 4.0 WW, 4GB (1X4GB) 2133 DDR4, HDD 1TB 5400RPM SATA, LCD 14 HD AG LED SVA Fhdc Slim 1 Ant, No ODD, 1/1/0
2. Video proyector Epson Power Lite S31+ Tecnología: 3LCD Luminosidad: 3200 lumens Resolución: SVGA 800X600 Contraste: 15.000:1 Vida útil: 5000 Horas Normal, 10.000 Horas ECO Distancia de Proyección: 0,88 - 10,44 m Apertura de pantalla: 23" - 350" Conectividad: HDMI, VGA, USB Tipo A, USB Tipo B, RCA, S-Video, Parlante 2W Características Especiales: LAN inalámbrica IEEE 802.11b/g/n (Accesorio opcional)
3. HP Multifuncional LaserJet Color M477FDW MFP DUPLEX Multifuncional B/N y Color 218ppm Fax - Escáner - Copia impresioón 300 hojas - ciclo máximo de trabajo hasta 50.000 páginas volumen recomendado mensual de 750 a 4000 páginas reemplazo de la m476 DW
4. 16 baterías de 12V - 7.5 Ah para mantenimiento de UPS que respalda la operación del servidor en el que reposa archivos de investigación de los diferentes proyectos de la Vicerrectoría de Investigación y Proyección Social</t>
  </si>
  <si>
    <t xml:space="preserve">Se está apoyando a la formación de alto nivel de 24 docentes:
1. Cristian Arnoldo Ramírez Castrillón - Doctorado en Estudios Territoriales Universidad de Caldas
2. Eduardo Plazas Motta - Doctorado en Educación en la Universidad de Deusto, Bilbao-España
3. Elías Francisco Amórtegui Cedeño - Doctorado en Didáctica de las Ciencias Experimentales en la Universidad de Valencia, España
4. Germán Darío Hembuz Falla - Doctorado en Ciencias Sociales, Niñez y Juventud Fundación Centro Internacional De Educación Y Desarrollo Humano – CINDE
5. Germán Fabián Escobar Fiesco - Doctorado En Matemática Aplicada en la Universidad de Sao Paulo Brasil
6. Jenny Liseth Avendaño López - Doctorado en Ciencias Sociales, Niñez y Juventud Fundación Centro Internacional De Educación Y Desarrollo Humano – CINDE
7. José Jardani Giraldo Uribe - Doctorado en Desarrollo Sostenible Universidad de Manizales
8. Julio Roberto Jaime Salsa - Doctorado en Ciencias Sociales, Niñez y Juventud Fundación Centro Internacional De Educación Y Desarrollo Humano – CINDE
9. Luis Alfredo Muñoz Velasco - Doctorado en Desarrollo Sostenible Universidad de Manizales
10. Mauricio Penagos - Doctorado en Educación Matemática, Universidad Antonio Nariño – Bogotá
11. Nercy Gutiérrez Cardoso - Doctorado en Ciencias de la Educación, en la Universidad del Quindío
12. Zully Cuellar López - Doctorado en Didáctica de las Ciencias Experimentales en la Universidad de Valencia, España
13. Patricia Gutiérrez Prada - Doctorado en Modelado en Política y Gestión Pública en la 
Fundación Universidad de Bogotá Jorge Tadeo Lozano
14. Francisco José Muñoz Ordoñez - Doctorado en Agroindustria y Desarrollo Agrícola Sostenible en la Universidad Surcolombiana
15. Alberto Ducuara Manrique - Doctorado en Agroindustria y Desarrollo Agrícola Sostenible en la Universidad Surcolombiana
16. José Leonardo Ruiz Méndez -  Doctorado en Educación y Cultura Ambiental en la Universidad Surcolombiana
17. Ruben Darío Valbuena Villareal - Doctorado en Agroindustria y Desarrollo Agrícola Sostenible en la Universidad Surcolombiana
18. Fernando Galindo - Doctorado en Ciencias de la Actividad Física y el Deporte - Universidad de Valencia - España.
19. Sonia Amparo Salazar - Doctorado en Educación - Universidad de Deusto, Bilbao-España
20. Lisseth Sugey Rojas - Doctorado en Educación - Universidad Autónoma de Madrid - España
21. Guiber Olaya Marín - Doctorado en Ingeniería - Sistemas Energéticos -  Universidad Nacional de Colombia
22. Luz Omaira Gomez - Doctorado en Enfermería - Universidad Nacional de Colombia
23. Miryam Cristina Fernandez - Doctorado en Psicología - Vrije Universiteit Brussel (Bégica)
24. Yivy Salazar Parra - Doctorado en Educación y Cultura Ambiental – Universidad Surcolombiana </t>
  </si>
  <si>
    <t>Se encuentra actualmente en 75% el proceso de actualización de las bases de datos con indicadores de acreditación institucional</t>
  </si>
  <si>
    <t>Se están apoyando 12 proyectos (SI-PY1.5 Y SI-PY4.1 Van unidos):
1. Reconstrucción de los itinerarios terapéuticos de las mujeres con cáncer de mama para la reconstrucción de los senos en la ciudad de Neiva (Huila)
2. Desarrollo de un nuevo producto a base de tilapia (Oreochromis SP) mediante la aplicación de métodos de salado-ahumado al vacío
3. Proyecto de menor cuantía "niveles de interferón gamma y citocinas pro-inflamatorias en lavado bronco alveolar de pacientes adultos con sospecha de tuberculosis"
4. Proyecto de mediana cuantía la permanencia y el abandono estudiantil, fisuras para la escuela de la paz, equidad, la reconciliación y el ejercicio de los DDHH, en marco del posconflicto
5. Proyecto mediana cuantía correlatos neurofisiológicos del procesamiento emocional de los perfiles clínicos de niños vinculados al acoso escolar
6. Proyecto estudio de la fricción de la mecánica cuántica
7. Calidad de vida y aspectos psicosociales en una muestra de pacientes diagnosticados con síndrome de fibromialgia en las ciudades de Neiva y Tunja
8. La autonomía universitaria de las universidades públicas frente al derecho administrativo
9. Justicia distributiva y restaurativa en el marco de la justicia transicional Colombia en el periodo 2010-2015
10. Mecanismos de justicia transicional en clave de transversalidad e integralidad con perspectiva de enfoques diferenciales
11. La ecuación de continuidad y su significado en los diferentes contextos de la física
12. Construcción de prácticas pedagógicas alternativas para la formación de maestros para la paz, la equidad y la reconciliación</t>
  </si>
  <si>
    <t>Se ha logrado un avance del 50% del total del proyecto, según informe de avance a corte de junio de 2018, pero por motivos de presupuesto y contratación, quedó por el momento suspendido.</t>
  </si>
  <si>
    <t>Se lograron 3 nuevos productos de Propiedad Intelectual:
1. Proceso para el tratamiento de la vinaza
2. Aparato de transmisión giro avance perpendicular
3. Software para el cálculo de reactividad usando función matricial, protección por derecho de Autor 
En estos momentos hay 4 patentes en trámite:
1. Acondicionador orgánico mineral- inteligente
2. Sistema y métodos para la determinación del contenido de carbohidratos de alimentos Individuales o menús compuestos y la estimación de bolos de insulina
3. Rampa Orotraqueal
4. Recolector de agua lluvia portátil totalmente desmontable
Existe 3 nueva posible patente por iniciar trámite:
1. Brazalete de detección de sonidos de alarma para personas sordas e hipoacúsicas
2. Dispositivo para medir trayectoria y gasto de combustible en vehículos 
3. Metodo para medir la estabilidad de yacimientos petroleros</t>
  </si>
  <si>
    <t>Se realizó diagnóstico e informe de 2 laboratorios especializados para la investigación (Proceso de Acreditación):
1. Laboratorio de Suelos
2. Laboratorio de Aguas</t>
  </si>
  <si>
    <t>Se apoyó al desarrollo de 39 proyectos formulados por los grupos, en el marco del convenio ONDAS (Continuación desde el 2017): 
Nombre del Grupo de Investigación - Pregunta de Investigación - Avance - Porcentaje
1. CONVIVIR EN PAZ - ¿Cuáles son los problemas de convivencia escolar que cotidianamente se observan en la institución educativa san Lorenzo del Municipio de Suaza? - Se han realizado 3 visitas de asesoría presencial y 2 virtuales. Hasta el momento se han diligenciado hasta la bitácora 7 –  100%
2. TEJEDORES DE SUEÑOS - ¿Cómo rescatar la artesanía del sombrero Suaza para que no desparezca su tradición y como proyectar un relevo generacional en los jóvenes del municipio de Suaza para que continúe la trayectoria de las artesanas de avanzada edad? - Se han realizado 3 visitas de asesoría presencial y 2 virtuales. Hasta el momento se han diligenciado hasta la bitácora 6 -  100%
3. CLUB ESCOLAR DE CIENCIA, TECNOLOGIA E INNOVACIÓN SAN JUAN BOSCO - "¿Históricamente cuáles plantas medicinales han sido utilizadas en la comunidad educativa y para qué sintomatología son utilizadas?, ¿Las familias de los estudiantes de los grados de secundaria en qué proporción son adictas al tratamiento con productos naturales o de la medicina farmacéutica?, ¿Cuáles son las razones de ese comportamiento?” - Se han realizado 3 visitas de asesoría presencial y 2 virtuales. Hasta el momento se han diligenciado hasta la bitácora 7 -  100%
4. SONAE - ¿CUÁLES SON LAS ESPECIES DE PLANTAS DE USO COMESTIBLES EN EL CASCO URBANO, ASÍ COMO EN LAS VEREDAS PUEBLO VIEJO, LLANITOS Y BUENOS AIRES DEL MUNICIPIO ACEVEDO Y COMO SE ELABORAN LAS RECETAS GASTRONÓMICAS LOCALES A PARTIR DE ELLAS? - Se han realizado 3 visitas de asesoría presencial y 2 virtuales. Hasta el momento se han diligenciado hasta la bitácora 7 -  100%
5. PINVAMAC (PEQUEÑOS INVESTIGADORES AMBIENTALES DE ACEVEDO) - ¿cuál es el estado actual en la que se encuentra la quebrada el cangrejo del municipio de Acevedo, Huila? - Se han realizado 3 visitas de asesoría presencial y 2 virtuales. Hasta el momento se han diligenciado hasta la bitácora 6 -  100%
6. REVERDESER - Qué viabilidad hay en la producción de abono orgánico con la pulpa de café en la institución educativa San Adolfo - Se han realizado 3 visitas de asesoría presencial y 2 virtuales. Hasta el momento se han diligenciado hasta la bitácora 7 -  100%
7. SEMILLAS DE INVESTIGACION - ¿cuál es la onda de luz más benéfica para el crecimiento de semillas de frijol, maíz y arveja? - Se han realizado 3 visitas de asesoría presencial y 2 virtuales. Hasta el momento se han diligenciado hasta la bitácora 7 -  100%
8. VIGIAS AMBIENTALES ESCOLARES - "¿Cuales fuentes hídricas de la región han desaparecido y cuales han disminuido su caudal? ¿Cuáles han sido las causas de la desaparición o disminución de caudales? ¿Qué acciones se pueden sugerir para preservación?" - Se han realizado 3 visitas de asesoría presencial y 2 virtuales. Hasta el momento se han diligenciado hasta la bitácora 6 -  100%
9. LIBROS LIBRES - "¿Cómo lograr que los estudiantes de la zona rural de nuestro municipio puedan acceder a obras literarias de bajo costo y alta calidad sin violar derechos de autor?" - Se han realizado 3 visitas de asesoría presencial y 2 virtuales. Hasta el momento se han diligenciado hasta la bitácora 7 -  100%
10. LUPITOS - ¿Cómo obtener gas natural a partir de los residuos orgánicos producidos en nuestra comunidad educativa? - Se han realizado 3 visitas de asesoría presencial y 2 virtuales. Hasta el momento se han diligenciado hasta la bitácora 7 -  100%
11. EN LA PREVENCIÓN DE LA DESERCIÓN ESCOLAR - ¿Cuáles son las causas que provocan la deserción escolar y que estrategias se pueden implementar para reducir la problemática teniendo en cuenta la taza presentada en el año 2016 en la Institución educativa Esteban Rojas Tovar del municipio de Tarqui Huila? - Se han realizado 3 visitas de asesoría presencial y 2 virtuales. Hasta el momento se han diligenciado hasta la bitácora 7 -  100%
12. CONECTATE CON EL INGLÉS "CONECTA2" - ¿Cuál es la mejor técnica para el aprendizaje de vocabulario básico en inglés para los estudiantes de la zona rural de la I.E San Isidro del municipio de Acevedo dentro y fuera del aula de clase? - Se han realizado 3 visitas de asesoría presencial y 2 virtuales. Hasta el momento se han diligenciado hasta la bitácora 6 -  100%
13. RECICLANDO SUEÑOS - "¿Qué estrategias implementar para que los niños y la comunidad educativa San Isidro adopten Como práctica cotidiana la selección de los residuos sólidos y fomento de una cultura ambiental de la mano de la comunidad y las autoridades ambientales del municipio desarrollando  la  Construcción de cultura ambiental y ciudadanía?" - Se han realizado 3 visitas de asesoría presencial y 2 virtuales. Hasta el momento se han diligenciado hasta la bitácora 7 -  100%
14. FUTURITOS AMIGOS DEL MEDIO AMBIENTE - ¿CÓMO PODEMOS REUTILIZAR LOS RESIDUOS SÓLIDOS DE LA INSTITUCIÓN EDUCATIVA SAN JUAN BOSCO PARA MINIMIZAR LA CONTAMINACIÓN AMBIENTAL EN NUESTRA COMUNIDAD ESTUDIANTIL? - Se han realizado 3 visitas de asesoría presencial y 2 virtuales. Hasta el momento se han diligenciado hasta la bitácora 7 -  100%
15. CONQUISTADORES DEL ENTORNO - ¿Cómo está el entorno de la fuente termal y azufrada que desemboca en la quebrada del Chuyaco del municipio de Tarqui? ¿Cómo podemos preservar esta fuente? - Se han realizado 3 visitas de asesoría presencial y 2 virtuales. Hasta el momento se han diligenciado hasta la bitácora 7 -  100%
16. ELECTRÓN - ¿Cuáles plantas medicinales y para qué sintomatología podrían ser utilizadas en la comunidad educativa de la I.E. San Isidro? - Se han realizado 3 visitas de asesoría presencial y 2 virtuales. Hasta el momento se han diligenciado hasta la bitácora 7 -  100%
17. DEFENSORES DEL AGUA - ¿En qué condiciones se encuentra el agua en los nacederos de las veredas Las Juntas, El Vergel, Alto Tablón, La Argentina y Esmeralda? ¿Cómo cuidarlas? - Se han realizado 3 visitas de asesoría presencial y 2 virtuales. Hasta el momento se han diligenciado hasta la bitácora 7 -  100%
18. TEJIENDO PASOS - ¿Como el arte del tejido de la iraca desde el saber tradicional fortalece el patrimonio cultural y la educación propia de la comunidad educativa de la Institución Educativa la Unión del municipio de Suaza? - Se han realizado 3 visitas de asesoría presencial y 2 virtuales. Hasta el momento se han diligenciado hasta la bitácora 7 -  100%
19. CAFETERITOS INVESTIGADORES - Cómo nace, crece y se produce el árbol de café - Se han realizado 3 visitas de asesoría presencial y 2 virtuales. Hasta el momento se han diligenciado hasta la bitácora 6 -  100%
20. AQUANIÑOS - ¿El árbol nacedero aumenta los caudales hídricos de la vereda las Brisas de San Isidro Acevedo Huila? - Se han realizado 3 visitas de asesoría presencial y 2 virtuales. Hasta el momento se han diligenciado hasta la bitácora 6 -  100%
21. ORALIDAD Y ESCRITURA: TEJIENDO IDENTIDAD A PARTIR DE NUESTRO PASADO - ¿Cómo nuestra memoria colectiva y el pasado, expresado en los mitos y leyendas, reafirma nuestra identidad huilense y el amor por nuestra región? - Se han realizado 3 visitas de asesoría presencial y 2 virtuales. Hasta el momento se han diligenciado hasta la bitácora 6 -  100%
22. GREEN ENERGY ¿Cómo aprovechar la energía magnética para aplicarla en la vida cotidiana de los educandos de grado Séptimo de la Institución Educativa Marticas del municipio de Acevedo - Huila? - Se han realizado 3 visitas de asesoría presencial y 2 virtuales. Hasta el momento se han diligenciado hasta la bitácora 7 -  100%
23. ROBOTICS - ¿Cómo aplicar la robótica desde el área de Ciencias Naturales en los niños de grado Cuarto de la Institución Educativa Marticas de Acevedo, Huila? - Se han realizado 3 visitas de asesoría presencial y 2 virtuales. Hasta el momento se han diligenciado hasta la bitácora 7 -  100%
24. LOS DRONS - ¿Cómo incentivar el interés por la robótica con recursos caseros en el grado Octavo de la Institución Educativa Marticas del municipio de Acevedo - Huila? - Se han realizado 3 visitas de asesoría presencial y 2 virtuales. Hasta el momento se han diligenciado hasta la bitácora 7 -  100%
25. LOS PRIME - ¿Cómo diseñar un sistema de transformación de la energía con recursos reciclables en el grado Quinto de la Institución Educativa Marticas del municipio de Acevedo - Huila? - Se han realizado 3 visitas de asesoría presencial y 2 virtuales. Hasta el momento se han diligenciado hasta la bitácora 7 -  100%
26. ECOCREADORES - ¿La fabricación de algunos útiles escolares con material casero y reciclado permitirá aumentar la eficiencia académica de los estudiantes de la I.E. Marticas del municipio de Acevedo? - Se han realizado 3 visitas de asesoría presencial y 2 virtuales. Hasta el momento se han diligenciado hasta la bitácora 7 -  100%
27. PEQUEGENIOS - Cuales son las fortalezas y debilidades de utilizar de algunas plantas medicinales en el control de los vectores (cucarachas) - Se han realizado 3 visitas de asesoría presencial y 2 virtuales. Hasta el momento se han diligenciado hasta la bitácora 6 -  100%
28. ESCRITORES DE LIBERTAD - ¿Cómo fortalecer la comunicación y la sana convivencia mediante la ejecución del periódico escolar virtual, estimulando la lectura y comprensión lectora en los estudiantes de los grados tercero, Cuarto y quinto de la Institución Educativa la Unión del municipio de Suaza Huila? - Se han realizado 3 visitas de asesoría presencial y 2 virtuales. Hasta el momento se han diligenciado hasta la bitácora 7 -  100%
29. ALIMENTANDO CON AMOR ATRAVES DE NUESTRA HISTORIA - ¿Cual es la importancia del aprovechamiento y utilización de los productos tradicionales de la región de San José de Riecito en el municipio de Acevedo Huila? - Se han realizado 3 visitas de asesoría presencial y 2 virtuales. Hasta el momento se han diligenciado hasta la bitácora 7 -  100%
30. FAMILECTORES - ¿Cuál es el nivel educativo y los hábitos lectores de los padres de familia y estudiantes de la sede principal de la institución educativa la Victoria y que estrategias se pueden implementar para mejorar la formación de hábitos de estudio? - Se han realizado 3 visitas de asesoría presencial y 2 virtuales. Hasta el momento se han diligenciado hasta la bitácora 7 -  100% 
31. GUARDIANES AMBIENTALES - ¿Cómo podemos mejorar nuestro entorno ambiental a través del trabajo en equipo con los miembros de la comunidad de la Institución Educativa La Victoria? - Se han realizado 3 visitas de asesoría presencial y 2 virtuales. Hasta el momento se han diligenciado hasta la bitácora 7 -  100%
32. ABONOR - Como Fortalecer procesos de certificación en la producción de abonos orgánicos para implementar la agricultura limpia. - Se han realizado 3 visitas de asesoría presencial y 2 virtuales. Hasta el momento se han diligenciado hasta la bitácora 6 - 100%
33. COMIENDO ME NUTRO Y APRENDO - ¿Cómo crear buenos hábitos alimenticios en los 23 Estudiantes de la sede Paraíso de la I.E. La Bernarda del municipio de Guadalupe - Huila? - Se han realizado 3 visitas de asesoría presencial y 2 virtuales. Hasta el momento se han diligenciado hasta la bitácora 6 -  100%
34. EN LA ONDA DEL RECICLAJE - ¿Históricamente cuáles han sido las prácticas más usuales en la disposición final de los residuos orgánicos e inorgánicos? ¿Cuáles considera como buenas prácticas en esta materia que puedan ser tenidas en cuenta en la cultura ciudadana ambiental? - Se han realizado 3 visitas de asesoría presencial y 2 virtuales. Hasta el momento se han diligenciado hasta la bitácora 6 –  100%
35. LOS AGENTES DEL AMBIENTE - ¿Cómo podemos disminuir la contaminación del medio ambiental a través de la utilización de los desechos que se producen a la hora del procesamiento del café en la I. E. Bateas Sede El Encanto? - Se han realizado 3 visitas de asesoría presencial y 2 virtuales. Hasta el momento se han diligenciado hasta la bitácora 7 -  100%
36. LOS AMIGOS DE LA TIERRA - ¿Cómo disponer y aprovechar de forma adecuada los residuos sólidos orgánicos e inorgánicos generados en la sede Aguas Claras de la IE San Adolfo del municipio de Acevedo? - Se han realizado 3 visitas de asesoría presencial y 2 virtuales. Hasta el momento se han diligenciado hasta la bitácora 6 –  100%
37. LOS ECOLOGISTAS DEL FUTURO. - ¿Por qué a los niños y niñas de la Sede Sartenejal, les cuesta trabajo reciclar? - Se han realizado 3 visitas de asesoría presencial y 2 virtuales. Hasta el momento se han diligenciado hasta la bitácora 7 -  100%
38. SEMILLAS DE AMOR - ¿Cuál es la incidencia que tiene la huerta escolar en la construcción de aprendizajes significativos, desde la interdisciplinariedad en los niños y niñas de la Institución Educativa José Acevedo y Gómez – Sede El Mirador? - Se han realizado 3 visitas de asesoría presencial y 2 virtuales. Hasta el momento se han diligenciado hasta la bitácora 6 –  100%
39. EUREKA - ¿Por qué los habitantes de la vereda El Carmen no protegen la quebrada Toguache, siendo ésta su única fuente hídrica? ¿Qué acciones podemos realizar para recuperarla? - Se han realizado 3 visitas de asesoría presencial y 2 virtuales. Hasta el momento se han diligenciado hasta la bitácora 7 - 100%</t>
  </si>
  <si>
    <t>Se apoyó a la formulación, ejecución y/o divulgación 26 eventos académicos: 
1. Evento nacional IV encuentro de la Asociación Colombiana de Inmunología (ACOI)
2. Segunda Asamblea General de la Red de Investigación en Enfermedad Cardiovascular, Barranquilla
3. Seminario Congreso Gestión Documental, Bogotá
4. Evento Internacional Encuentro Misión REDCOLSI Nodo Huila Programa Gestores del Conocimiento Sao Paulo - Rio de Janeiro
5. Asamblea nacional de afiliados COTELCO de 2018, Neiva
6. Evento Taller Diseño del sistema de seguimiento y evaluación de la extensión universitaria de la asociación colombiana de universidades y la red nacional de extensión universitaria de ASCUN, Bogotá
7. 31a Feria Internacional del Libro, Bogotá
8. Evento EAFIT innovadora, Medellín
9. XII feria de internacionalización UD, Bogotá
10. Congreso Latinoamericano y del Caribe de Ingeniería Agrícola, San José Costa Rica
11. Segundo foro universitario de ética: ¡a la mierda las elecciones! desafección política del joven universitario – Neiva
12. Evento “LA EDUCACIÓN, CULTURA Y POLÍTICA PÚBLICA COMO FACTORES DE DESARROLLO EN SAINT QUENTIN, FRANCIA. UNA MIRADA DESDE LA POLÍTICA PÚBLICA”, FRÉDÉRIQUE EMMANUELLE, MARTINE MULLIEZ ÉP MACAREZ, Neiva
13. XXXII Congreso Anual de la Academia Organizada por la Universidad Politécnica de la ciudad, con la ponencia denominada ""gestión del mejoramiento universitario"" a realizarse en la ciudad de Valencia España
14. XI Congreso Internacional de Psicología y Educación (cipe 18), ponencia ""habilidades básicas de pensamiento espacial y procesos de comunicación en alumnos de prescolar colombianos""
15. Presentación de resultados del proyecto Cacaotic´s que tendrá lugar en la ciudad de Bogotá 
16. XV Foro Internacional sobre la evaluación de la calidad de la investigación y de la educación superior (FECIES) que se llevará a cabo en Santander España, Ponencia ""análisis de la implementación NIIF-PYMES sector comercial municipio de Pitalito Huila""
17. 56° congreso internacional de americanistas a realizarse en la ciudad de Salamanca España, Ponencia ""el turismo en el desierto de la Tatacoa y su relación con el territorio sostenible""
18. XV foro internacional sobre la evaluación de la calidad de la investigación de la educación superior (FECIES), Santander - España
19. ""I Congreso Internacional de mercado financiero y bursátil que se llevará a cabo en Pitalito, 6 ponencias
20. Siglo XXXIII Congreso Anual de AEDEM, en Valencia España
21. XIV Congreso de la Asociación Latinoamericana de Investigadores de la Comunicación - ALAIC - Costa Rica
22. II Bienal de Infancias y Juventudes
23. VIII Congreso Internacional de Investigación e Innovación a realizarse en la ciudad de Rio de Janeiro
24. XVII Internacional Finance Conference - Brasil
25. VIII Conferencia Latinoamericana y Caribeña de ciencias sociales a realizarse en Buenos Aires-Argentina
26. I Taller Cartográfico Internacional que se desarrolló en Lublin y Zwerzyniec - Polonia</t>
  </si>
  <si>
    <t>El documento de la política y Plan Estratégico de la Transversalidad en lo Académico ya fueron elaborados, el próximo paso es operativizarlo porque ya fue aprobado por el consejo académico; hay que definir estrategias para implementarlo,
La transversalidad de la investigación fue aprobada por el COCEIN, El estatuto de Investigación se encuentra en revisión por el COCEIN (20%), la política de semilleros la aprobó el COCEIN y se ha estado trabajando con las facultades</t>
  </si>
  <si>
    <t>Se está apoyando a 12 Grupos de Investigación: 
1. Agroindustria
2. Mi Dneuropsy
3. Unitcom
4. Memoria y Región
5. Parasitología y Medicina Tropical
6. Carlos Finlay
7. Nuevas Visiones del Derecho
8. Dinusco
9. Ecosurc
10. Constru-Usco
11. Gipe
12. Cre@</t>
  </si>
  <si>
    <t>Se está apoyando con la financiación de 14 proyectos de investigación en modalidad trabajos de grado:
1. Evaluación de los parámetros fisicoquímicos de cafés especiales origen Huila y su influencia en la encapsulación y extracción de bebidas de café en máquinas mono dosis comerciales y su aceptación por consumidores
2. Fermentación de pulpa de café mediante inoculación de S. Cerevisiae Var. Ellipsoideos y chaptalización con miel y jugo de caña de azúcar
3. Aislamiento y caracterización del glicolipido mayoritario de la especie Vegetal Ipomoea Purpurea (l) Roth y su evaluación como modulador de resistencia a múltiples fármacos en células cancerígenas
4. Análisis de la participación electoral de los jóvenes del municipio de rivera en elecciones nacionales 2006-2014-2018
5. Proyecto recobro mejorado en crudos pesados evaluación y optimización de la conductividad térmica aplicando calentamiento eléctrico asistido por nano partículas oxido- metálicas
6. “Dinámica para la sostenibilidad y resiliencia del humedal "los colores"" 2018.
7. Introducción a las redes complejas
8. "Aislamiento e identificación de algunos de los metabolitos secundarios de la vitis tiliifolia (agraz) relacionado con la modulación del sistema inmunológico.
9. Micro termometría de la formación caballos como roca almacén en la subcuenca de Neiva
10. Comportamiento y estrategias electorales del concejo de Neiva entre los años 2003-2015
11. Slavoj Zizek, psicoanálisis, neurociencias y las ciencias de la complejidad
12. Aislamiento y caracterización del glicolipido mayoritario de la especie vegetal ipomoea purpurea (l) roth y su evaluación como modulador de resistencia a múltiples fármacos en células cancerígenas
13. Factores determinantes en la seguridad de los usuarios con alteraciones mentales en unidad mental
14. Evaluación de microbiota cultivable de la laguna del parque jardín botánico de Neiva (Colombia) a través de la columna de winogradsky y su aplicabilidad educativa con futuros docentes de ciencias naturales de la universidad surcolombiana</t>
  </si>
  <si>
    <t>Se está apoyando con la financiación de 41 proyectos ejecutados por semilleros de investigación:
1. Proyecto aprendiendo a estudiar las clases en el club de apoyo matemático del Huila "CAMATH"
2. Proyecto evaluación biológica de los extractos del helecho Eupodium Pittueri empleada en el crecimiento del vello facial en el municipio de Acevedo Huila
3. "Análisis de los planes, programas y políticas públicas en materia de vivienda a favor de los desplazados en Pitalito (2011-2016)
4. Proyecto relación entre proceso, tiempo de permanencia y complicaciones de cateterismo venoso periférico en los pacientes que ingresan al servicio de urgencias de HUHMP"
5. Proyecto autonomía alimentaria: vivencias y prácticas tradicionales del pueblo indígena nasa -Huila 2018
6. Proyecto significados de autonomía alimentaria y las condiciones necesarias para su desarrollo en una comunidad indígena del pueblo nasa. Huila 2018
7. Algoritmo genético y de enjambre
8. Caracterización de los síntomas en mujeres con síndrome coronario agudo fundamentado en el modelo conceptual del manejo del síntoma
9. Efectos del cambio climático en fuente hídrica rio frio del municipio de Campoalegre (Huila)
10. Construcción de percepciones sobre interrupción voluntaria del embarazo durante la formación de pregrado en enfermería
11. Análisis de vigas acarteladas y cálculo de la matriz de rigidez por medio de la implementación de las integrales numéricas de los términos de la matriz de flexibilidades en el cas libre máxima
12. Análisis de la rigidez lateral de sistemas marco-contraviento y marco-muro por medio de estrategias matriciales basadas en simplificaciones de elementos viga-columnas y modelos de elementos finitos
13. Evaluación biológicas de los extractos del helecho Eupodium Pittieri, empleada para el crecimiento del vello facial en el municipio de Acevedo Huila
14. Caracterización de los estatutos de posgrados de las universidades publicas hacia una propuesta de regulación de postgrados en la universidad surcolombiana
15. Principio de precaución ambiental y compensación ambiental en los mega proyectos de construcción vial habitacional y de desarrollo en Neiva 2010-2017
16. La responsabilidad del estado por ejecuciones extrajudiciales en el departamento del Huila 2002-2017
17. Evaluación de parámetros fisicoquímicos y microbiológicos en bebidas fermentada a partir de cereza de café
18. El desarrollo de la agroindustria de post cosecha del café en el departamento del Huila, caso municipio de Teruel
19. La responsabilidad estatal por privación injusta de la libertad y su relación con el conflicto interno armado colombiano en el departamento del Huila
20. Análisis de la gestión de la comunicación en las organizaciones públicas del municipio de Pitalito
21. Analizar la radio escolar como practica de participación en las instituciones educativas nacional, Montessori y resguardo indígena Intiyacta del municipio de Pitalito
22. Prácticas de resistencia social no violentas por la defensa del territorio en Pitalito y comités de municipios del Surcolombiano durante el periodo 2016-2017
23. La construcción de la idea de género desde las perspectivas de las excombatientes de las FARC-EP en la zona veredal de la carmelita en el putumayo
24. Estudio cualitativo del modelo matemático de un riñón artificial
25. Valoración del sector de media luna, Aipe, Huila como geositio de patrimonio geológico
26. Principales causas por las cuales los contribuyentes del monotributo en el sector de peluquería del municipio de Pitalito - Huila, no se registraron como sujetos pasivos de dicho impuesto en los términos establecidos por la administración tributaria
27. Determinantes de la participación electoral en Colombia por departamentos: caso elecciones presidenciales 2002-2014
28. Búsqueda de empleo en la ciudad de Neiva: una aproximación de un modelo Probit
29. personas naturales, declarantes de renta que presentaron saldo a favor durante las vigencias 2014-2015 en el municipio de Pitalito - Huila
30. Indebido tributario en la determinación, liquidación y aplicación del impuesto predial, en el municipio de Pitalito - Huila durante las vigencias 2015-2016
31. Análisis de la pertinencia de la creación de un consultorio contable para el programa de contaduría pública en la universidad surcolombiana sede Pitalito como estrategia de aprendizaje y proyección social en la zona de injuria en esta sede 
32. Factores de permanencia irregular en el programa de contaduría pública nocturna cohorte 2015-1 Universidad surcolombiana sede Pitalito
33. Laudos arbitrales de la cámara de comercio de Neiva: justicia privada, línea jurisprudencial en los últimos 7 años 2010-2017
34. Prácticas gerenciales en el proceso de vinculación del personal en el sector hotelero del municipio de San Agustín
35. Factores que determinan el incumplimiento de la planta de beneficio animal que propone el decreto 1500 en el municipio de Pitalito
36. Caracterización de libélulas (insecta:odonata) adultos en el parque jardín botánico Bertha Hernández de Ospina de la ciudad de Neiva (Huila - Colombia)
37. Análisis al diseño e implementación de la política publica de asentamientos informales de la ciudad de Neiva
38. Estado del arte de la construcción de ciudadanía en contextos de conflicto
39. Perspectivas de construcción de paz de los habitantes del occidente de Neiva: caso de los corregimientos de Aipecito, San Luis y Chapinero
40. Evaluación de las propiedades fisicomecanicas de especímenes a base de cemento utilizando cenizas de cascarilla de arroz procedente de la industria arrocera de departamento del Huila como sustituto parcial del cemento 
41. Incidencia de cambio en el marco regulatorio ley 1819 de 2016 para las empresas sin ánimo de lucro- fundaciones en el municipio de Pitalito - Huila registradas en el año 2016</t>
  </si>
  <si>
    <t>Está en fase de planeación para el desarrollo de capacitaciones y/o talleres</t>
  </si>
  <si>
    <t>Se está apoyando con la vinculación de 3 jóvenes investigadores en modalidad de médicos rurales:
1. Julián David Javela Rúgeles
2. Juan Camilo Barrios Torres
3. José Santiago Cortés Guzmán</t>
  </si>
  <si>
    <t>Se está apoyando con la Cofinanciación de 14 Convenios:
1. Convenio 1229-2017
2. Convenio 749
3. Convenio FP44842-401-2017
4. Convenio 132-2017
5. Convenio Acuerdo SUIZA, USCO, SURCHER, SLOWFOOD
6. Convenio FP44842-164-2017
7. Convenio 245
8. Convenio 707
9. Convenio 085 DE 2015
10. Convenio CPIP
11. Convenio Universidad de Barcelona TOINN
12. Convenio No. 001 de 2018 Suscrito entre la Universidad Cooperativa y la Usco
13. Convenio de colaboración entren la Universidad de Hull, Universidad Surcolombiana y Export Pez S.A.S.
14. Convenio Fundación FES</t>
  </si>
  <si>
    <t>Se ha realizado actualización de procedimientos del proceso de investigación relacionados a continuación:
1. MI-INV-PR-01 CONVOCATORIAS INTERNAS DE INVESTIGACIÓN Y PROYECCIÓN SOCIAL
2. MI-INV-PR-03 GESTIÓN Y EDICIÓN DE REVISTAS CIENTÍFICAS
3. MI-INV-PR-06 PRODUCCIÓN ACADÉMICA
4. PROCEDIMIENTO (GESTION DEL CONOCIMIENTO E INNOVACIÓN - PROPIEDAD INTELECTUAL).
5. PROCEDIMIENTO (REGISTRO DE PATENTES)
En la actualidad se está aprobando la creación del procedimiento  y actualización del procedimiento MI-INV-PR-02 ADMINISTRACIÓN TÉCNICA Y FINANCIERA DE PROYECTOS (SEMILLEROS Y GRUPOS) y sus instrumentos. Igualmente se tiene listo los procedimientos para gestión de propiedad intelectual y gestión de patentes, solo queda pendiente aprobar los formatos.</t>
  </si>
  <si>
    <t>Avance del Sistema de Información SIVIPS 
1 - módulo de convocatorias (80%):
Éste contempla configuración de convocatoria, registro de proyectos, evaluación de requisitos mínimos, proceso de reclamaciones, evaluación de pares evaluadores y emisión de actas con resultados finales. Se capacitó a cada una de las facultades y sedes de las universidad surcolombiana (Pitalito - Garzón y La Plata) en el manejo del mismo.
2 - Módulo Seguimineto (0%)
3 - Módulo FInalización de proyectos (0%)
4 - Módulo de Grupos de Investigación (10%)</t>
  </si>
  <si>
    <t>Se han elaborados y desarrollados 3 proyectos con el CDT Minerhuila:
1 - Implementacion de un sistema de recuperación de calor residual para incrementar la eficiencia del proceso productivo de secado de Ladrillera Andina en el municipio de Aipe, Huila.
2 - Implementacion de un modelo de innovacion integral para el aprovechamiento de materiales de excavacion y residuos de construccion y demolicion (RCD´S), en los municipios del departamento del Huila
3 - Caracterización y reciclaje de residuos de procesos industriales y materias primas en tres (3) empresas adscritas al Centro de Desarrollo Minero Energético del Huila</t>
  </si>
  <si>
    <t>Se ha avanzado en un 80% en el proceso de definir el Plan Estratégico de Ciencia, Tecnología e Innovación y Desarrollo</t>
  </si>
  <si>
    <t>Se ha realizado la diagramación HTML de 223 artículos de 4 diferentes revistas institucionales de la Usco en la página https://www.journalusco.edu.co/:
1 - 83 artículos de la Revista Piélagus
2 - 24 artículos de la Revista Ingeniería y Región
3 - 57 artículos de la Revista RFS
4 - 59 artículos de la Revista Entornos</t>
  </si>
  <si>
    <t>Se viene trabajando en la consolidación de los procesos editoriales de revistas, mediante la definición de políticas y lineamientos que permitan tener mayor capacidad de indexación en indices y bases de datos nacionales e internacionales. Se crea la politica editorial, El Comité de Producción de Revistas Científicas y la puesta en marcha de sistemas de información como Open Journal Systems (OJS). Finalmente se apoya a cada revista en procesos de maquetación de artículos en diferentes formatos como HTML. Se espera que para la próxima convocatoria Colciencias, La Universidad pueda participar con las 4 revistas más solidas buscando recuperar su indexación en Publindex. Se esperan las próximas convocatorias para poder seguir avanzando. A fecha del presente informe se trabaja en la revisión de metadatos y asignación y activación de DOI para los artículos publicados.</t>
  </si>
  <si>
    <t>Estatuto de Propiedad Intelectual - Acuerdo 014 de 2018 (Se encuentra en la página: https://www.usco.edu.co/es/estatutos-usco/)</t>
  </si>
  <si>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Apoyo movilidad académica e investigativa y de proyección social de docentes, estudiantes, personal administrativo y graduados, que participan en actividades de internacionalización:</t>
    </r>
    <r>
      <rPr>
        <sz val="11"/>
        <color theme="1"/>
        <rFont val="Calibri"/>
        <family val="2"/>
        <scheme val="minor"/>
      </rPr>
      <t xml:space="preserve">
Se apoyaron a 107 personas (movilidad entrante y saliente)</t>
    </r>
  </si>
  <si>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Reformulación del Estatuto de Proyección Social y la Política de Regionalización:</t>
    </r>
    <r>
      <rPr>
        <sz val="11"/>
        <color theme="1"/>
        <rFont val="Calibri"/>
        <family val="2"/>
        <scheme val="minor"/>
      </rPr>
      <t xml:space="preserve">  
1. Documento borrador del  ESTATUTO DE PROYECCIÓN SOCIAL. (Pendiente revisión y aprobación, avance de un 70 %)      
2. Se concluyó el documento maestro Proceso Construcción Política de Regionalización, en cabeza de Juan Camilo Ramirez Director de Sedes, un avance total del 100 %</t>
    </r>
  </si>
  <si>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Reformulación del proyecto AAUEES</t>
    </r>
    <r>
      <rPr>
        <sz val="11"/>
        <color theme="1"/>
        <rFont val="Calibri"/>
        <family val="2"/>
        <scheme val="minor"/>
      </rPr>
      <t xml:space="preserve">
Profesional de Gestión Institucional Gloria Cotrino: se trabajó durante 5 jornadas de trabajo con las universidad aliadas al proyecto de Educación Rural denominado</t>
    </r>
    <r>
      <rPr>
        <sz val="11"/>
        <color rgb="FFFF0000"/>
        <rFont val="Calibri"/>
        <family val="2"/>
        <scheme val="minor"/>
      </rPr>
      <t xml:space="preserve"> CACAO.</t>
    </r>
    <r>
      <rPr>
        <sz val="11"/>
        <color theme="1"/>
        <rFont val="Calibri"/>
        <family val="2"/>
        <scheme val="minor"/>
      </rPr>
      <t xml:space="preserve">..se tiene previsto los ajustes finales del Ministerio de Educación quienes harán el proyecto. Existen actas y registros fotográficos Juan Carlos González ha hecho el seguimiento técnico al proyecto y quien estará en la Universidad consolidando la información requerida para finiquitar el convenio que encabeza la universidad Surcolombiana y se firmara con el Ministerio para llevar a cabo todas las exigencias de carácter técnico, administrativo en este proyecto.
</t>
    </r>
  </si>
  <si>
    <r>
      <t>Unidad de medida:</t>
    </r>
    <r>
      <rPr>
        <sz val="11"/>
        <color theme="1"/>
        <rFont val="Calibri"/>
        <family val="2"/>
        <scheme val="minor"/>
      </rPr>
      <t xml:space="preserve"> </t>
    </r>
    <r>
      <rPr>
        <i/>
        <sz val="11"/>
        <color theme="1"/>
        <rFont val="Calibri"/>
        <family val="2"/>
        <scheme val="minor"/>
      </rPr>
      <t>Definir una agenda regional con actores sociales para implementación y apropiación de la Política de Regionalización:</t>
    </r>
    <r>
      <rPr>
        <sz val="11"/>
        <color theme="1"/>
        <rFont val="Calibri"/>
        <family val="2"/>
        <scheme val="minor"/>
      </rPr>
      <t xml:space="preserve"> 1. El profesor FABIO SALAZAR solicitó  Juan Camilo incluya Agenda Social Regional en la reunión de Regionalización, Se está concluyendo el documento maestro Proceso Construcción Política de Regionalización, un avance total del 100 %. A la fecha se han hecho apoyos económico a las distintas sedes en  las actividades por ejecutar, acciones, proyectos y eventos</t>
    </r>
  </si>
  <si>
    <r>
      <t>Unidad de medida:</t>
    </r>
    <r>
      <rPr>
        <sz val="11"/>
        <color theme="1"/>
        <rFont val="Calibri"/>
        <family val="2"/>
        <scheme val="minor"/>
      </rPr>
      <t xml:space="preserve"> </t>
    </r>
    <r>
      <rPr>
        <i/>
        <sz val="11"/>
        <color theme="1"/>
        <rFont val="Calibri"/>
        <family val="2"/>
        <scheme val="minor"/>
      </rPr>
      <t>Macroproyectos:</t>
    </r>
    <r>
      <rPr>
        <sz val="11"/>
        <color theme="1"/>
        <rFont val="Calibri"/>
        <family val="2"/>
        <scheme val="minor"/>
      </rPr>
      <t xml:space="preserve"> 
1 - PROYECTO MUSEO GEOLOGICO
2 - DESCA
3 - PROMOCION DE LA DONACION VOLUNTARIA Y HABITUAL DE SANGRE EN COMUNIDAD HUILENSE</t>
    </r>
  </si>
  <si>
    <r>
      <t>Unidad de medida:</t>
    </r>
    <r>
      <rPr>
        <sz val="11"/>
        <color theme="1"/>
        <rFont val="Calibri"/>
        <family val="2"/>
        <scheme val="minor"/>
      </rPr>
      <t xml:space="preserve"> </t>
    </r>
    <r>
      <rPr>
        <i/>
        <sz val="11"/>
        <color theme="1"/>
        <rFont val="Calibri"/>
        <family val="2"/>
        <scheme val="minor"/>
      </rPr>
      <t>Proyectos solidarios ejecutados en cofinanciación con entidades externas</t>
    </r>
    <r>
      <rPr>
        <sz val="11"/>
        <color theme="1"/>
        <rFont val="Calibri"/>
        <family val="2"/>
        <scheme val="minor"/>
      </rPr>
      <t>. Actualmente se vienen ejecutando:                                    
1. CONTRATO INTERADMINISTRATIVO NO.1229 ENTRE EL MUNICIPIO DE NEIVA Y LA USCO
2. CONVENIO ICETEX
3. CONVENIO INTERADMINISTRATIVO 0132-2017 DEPARTAMENTO  DEL HUILA - USCO
4. RESOLUCIÓN No. 1595 DEL MINISTERIO DE CULTURA PROYECTO “DIPLOMADO DE FORMACIÓN EN COMUNICACIÓN NIÑEZ Y JUVENTUD”</t>
    </r>
  </si>
  <si>
    <r>
      <t>Unidad de medida:</t>
    </r>
    <r>
      <rPr>
        <sz val="11"/>
        <color theme="1"/>
        <rFont val="Calibri"/>
        <family val="2"/>
        <scheme val="minor"/>
      </rPr>
      <t xml:space="preserve"> </t>
    </r>
    <r>
      <rPr>
        <i/>
        <sz val="11"/>
        <color theme="1"/>
        <rFont val="Calibri"/>
        <family val="2"/>
        <scheme val="minor"/>
      </rPr>
      <t>Financiación de Banco de Proyectos de Proyección Social</t>
    </r>
    <r>
      <rPr>
        <sz val="11"/>
        <color theme="1"/>
        <rFont val="Calibri"/>
        <family val="2"/>
        <scheme val="minor"/>
      </rPr>
      <t>:  Actualmente se está trabajando sobre 18 proyectos de banco de proyectos:
1. Proyecto fortalecimiento de la organización comunal rural en los corregimientos del Cagúan, rio de las ceibas, Vegalarga, fortalecillas, Neiva - Huila
2. Proyecto “fortalecimiento de la organización comunal rural en los corregimientos Guacirco, San Luis, Aipecito, Chapinero, Neiva - Huila, Colombia,
3. Proyecto herbario surco-2017
4. Proyecto programa de intervención cognición social” en niños escolares de 7 a 12 años con diagnóstico de trastorno de conducta
5. Proyecto “promoción de la creación de un lugar de memoria del mal, la paz y la reconciliación en la región surcolombiana
6. Proyecto construcción de agenda de paz territorial acciones en pedagogía para la paz
7. Proyecto de proyección social formación para la paz, perdón y reconciliación con organizaciones sociales y culturales de los municipios de la zona norte de departamento del Huila; perdón-arte, experiencia con gestores culturales
8. Proyecto proyección social memoria para la paz
9. Proyecto  derechos sexuales y reproductivos en familias en situación de desplazamiento en la ciudad de Neiva
10. Proyecto agenda joven con identidad, comunicación y política
11. Proyecto programa educativo de nefroprotección y detección temprana de enfermedad renal crónica en personas con hipertensión arterial y/o diabetes
12. Prueba psicométrica vocacional en estudiantes de primer semestre de la facultad de salud de la universidad surcolombiana
13. Promoción de la donación voluntaria y habitual de sangre para generar la cultura de la donación, neiva-2018
14. Proyecto formación de auditores estudiantiles en instituciones públicas de educación median en el municipio de Pitalito"
15. Proyecto promotores de convivencia y paz territorial
16. Contacto radio
17. Estrategia creativa: encuentro juventud, comunicación y cambio social con agenda joven.
18. Hábitos saludables: un camino hacia el autocuidado</t>
    </r>
  </si>
  <si>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 xml:space="preserve">Convenios suscritos:Unidad de medida: Convenios suscritos:
1. Contrato interadministrativo no. 017 de 2018 suscrito entre la universidad surcolombiana y la contraloría departamental del Huila.
2. Contrato interadministrativo no. 1010 de 2018 celebrado entre el departamento del Huila -secretaria de gobierno y desarrollo comunitario – secretaria de salud departamental – secretaria de educación departamental y universidad surcolombiana. </t>
    </r>
  </si>
  <si>
    <r>
      <t>Unidad de medida:</t>
    </r>
    <r>
      <rPr>
        <sz val="11"/>
        <color theme="1"/>
        <rFont val="Calibri"/>
        <family val="2"/>
        <scheme val="minor"/>
      </rPr>
      <t xml:space="preserve"> Se Apoyo a la gestión académico administrativa fortalecer la Proyección Social con la contratación de 27 persona: 
1. ALEXANDER SANCHEZ MANCHOLA
2. ALIX JORLENY GUTIERREZ
3. ARLYN GOMEZ TRUJILLO
4. CAMILO ANDRES NUÑEZ VANEGAS
5. CARLOS OCTAVIO QUIMBAYA
6. CINDY TATIANA OVIEDO
7. CLAUDIA PATRICIA VARGAS
8. DIEGO FERNANDO GONZALEZ
9. GUISELA ALEXANDRA LOPEZ
10. INGRID VIVERLY TOVAR
11. IVAN ANDRES TRUJILLO
12. JAIME SALCEDO SANCHEZ
13. JESSICA PAOLA BERMEO
14. JESUS DAVID DIAZ
15. KELLY JOHANA CARDENAS
16. LIBIA MARINA PRECIADO
17. LINA MARIA VILLEGAS
18. LIZETH VARGAS SANCHEZ
19. LUIS ANIBAL ARANDA MORALES
20. MARIA JIMENA BELLO
21. MARIA PIEDAD RINCON PALECHOR
22. MARIO ANDRES SOTELO
23. SANDRA BIBIANA GOMEZ GOMEZ
24. SANDRA CONSTANZA VANEGAS
25. TANIA ALEXANDRA MEDINA
26. WILMER ALEXANDER BARBOSA RIVAS
27. XENNY YOLIMA MENDEZ</t>
    </r>
  </si>
  <si>
    <r>
      <t>Unidad de medida:</t>
    </r>
    <r>
      <rPr>
        <sz val="11"/>
        <color theme="1"/>
        <rFont val="Calibri"/>
        <family val="2"/>
        <scheme val="minor"/>
      </rPr>
      <t xml:space="preserve"> </t>
    </r>
    <r>
      <rPr>
        <i/>
        <sz val="11"/>
        <color theme="1"/>
        <rFont val="Calibri"/>
        <family val="2"/>
        <scheme val="minor"/>
      </rPr>
      <t>Estudio de Impacto:</t>
    </r>
    <r>
      <rPr>
        <sz val="11"/>
        <color theme="1"/>
        <rFont val="Calibri"/>
        <family val="2"/>
        <scheme val="minor"/>
      </rPr>
      <t xml:space="preserve">                                                                                                                          Desarrollo del capítulo 3 de Proyección Social para la consolidación del libro del Rector Pedro León Reyes Gaspar, en dónde se consolidad el impacto de éste subsistema durante los años 2014 al 2017.                                                                                                               Estructuración del documento de la evaluación del impacto de la proyección Social en dónde se presenta el marco teórico, antecedentes, presentación de la Proyección Social de la Universidad Surcolombiana, Justificación y un instrumento base para evaluar el impacto de la Proyección Social dirigido a docentes estudiantes y administrativos. ANEXO DOCUMENTOS Avance total hasta Septiembre de un 60%</t>
    </r>
  </si>
  <si>
    <r>
      <t xml:space="preserve">Unidad de medida: Proyectos ejecutados por Agenda Social Regional                                                                                      Se recibió informe de la Agenda Social Regional. Director Dr. FABIO SALAZAR, se anexa al archivo informe de PDI 1° Trimestre.  En lo que corresponde al segundo trimestre del semestre 2018-1, a la fecha, se han venido desarrollando sesiones de reunión con </t>
    </r>
    <r>
      <rPr>
        <b/>
        <sz val="10.5"/>
        <color theme="1"/>
        <rFont val="Calibri"/>
        <family val="2"/>
        <scheme val="minor"/>
      </rPr>
      <t>i)</t>
    </r>
    <r>
      <rPr>
        <sz val="10.5"/>
        <color theme="1"/>
        <rFont val="Calibri"/>
        <family val="2"/>
        <scheme val="minor"/>
      </rPr>
      <t xml:space="preserve">los integrantes delegados por las facultades para la vigencia del primer semestre del año 2018 y que conforman el </t>
    </r>
    <r>
      <rPr>
        <b/>
        <sz val="10.5"/>
        <color theme="1"/>
        <rFont val="Calibri"/>
        <family val="2"/>
        <scheme val="minor"/>
      </rPr>
      <t>COMITÉ INTERFACULTADES</t>
    </r>
    <r>
      <rPr>
        <sz val="10.5"/>
        <color theme="1"/>
        <rFont val="Calibri"/>
        <family val="2"/>
        <scheme val="minor"/>
      </rPr>
      <t xml:space="preserve"> del proyecto, para tratar asuntos del funcionamiento interno del proyecto, así como también para la revisión y discusión conjunta de los documentos elaborados por la contratista MERCY JULIETH OLAYA CORREDOR (Asesora jurídica y apoyo a la gestión administrativa del proyecto), quien en desarrollo de sus actividades ha construído </t>
    </r>
    <r>
      <rPr>
        <b/>
        <sz val="10.5"/>
        <color theme="1"/>
        <rFont val="Calibri"/>
        <family val="2"/>
        <scheme val="minor"/>
      </rPr>
      <t>1</t>
    </r>
    <r>
      <rPr>
        <sz val="10.5"/>
        <color theme="1"/>
        <rFont val="Calibri"/>
        <family val="2"/>
        <scheme val="minor"/>
      </rPr>
      <t>. una propuesta de reglamento interno para el funcionamiento interno del proyecto conforme los requerimientos de la Coordinación del proyecto y</t>
    </r>
    <r>
      <rPr>
        <b/>
        <sz val="10.5"/>
        <color theme="1"/>
        <rFont val="Calibri"/>
        <family val="2"/>
        <scheme val="minor"/>
      </rPr>
      <t xml:space="preserve"> 2.</t>
    </r>
    <r>
      <rPr>
        <sz val="10.5"/>
        <color theme="1"/>
        <rFont val="Calibri"/>
        <family val="2"/>
        <scheme val="minor"/>
      </rPr>
      <t xml:space="preserve"> un documento contentivo de </t>
    </r>
    <r>
      <rPr>
        <b/>
        <sz val="10.5"/>
        <color theme="1"/>
        <rFont val="Calibri"/>
        <family val="2"/>
        <scheme val="minor"/>
      </rPr>
      <t>proyecto de acuerdo</t>
    </r>
    <r>
      <rPr>
        <sz val="10.5"/>
        <color theme="1"/>
        <rFont val="Calibri"/>
        <family val="2"/>
        <scheme val="minor"/>
      </rPr>
      <t xml:space="preserve"> para la creación y puesta en funcionamiento del </t>
    </r>
    <r>
      <rPr>
        <b/>
        <sz val="10.5"/>
        <color theme="1"/>
        <rFont val="Calibri"/>
        <family val="2"/>
        <scheme val="minor"/>
      </rPr>
      <t>OBSERVATORIO REGIONAL DE POLÍTICAS PÚBLICAS</t>
    </r>
    <r>
      <rPr>
        <sz val="10.5"/>
        <color theme="1"/>
        <rFont val="Calibri"/>
        <family val="2"/>
        <scheme val="minor"/>
      </rPr>
      <t xml:space="preserve">, que constituye una de las actividades contempladas en el </t>
    </r>
    <r>
      <rPr>
        <b/>
        <sz val="10.5"/>
        <color theme="1"/>
        <rFont val="Calibri"/>
        <family val="2"/>
        <scheme val="minor"/>
      </rPr>
      <t>PLAN QUINQUENAL DE REGIONALIZACIÓN</t>
    </r>
    <r>
      <rPr>
        <sz val="10.5"/>
        <color theme="1"/>
        <rFont val="Calibri"/>
        <family val="2"/>
        <scheme val="minor"/>
      </rPr>
      <t xml:space="preserve"> actual y cuya responsabilidad quedó a cargo de la Facultad de Ciencias Sociales y Humanas y el proyecto SP.PY6. "Estructuración y Desarrollo de la Agenda Social Regional; </t>
    </r>
    <r>
      <rPr>
        <b/>
        <sz val="10.5"/>
        <color theme="1"/>
        <rFont val="Calibri"/>
        <family val="2"/>
        <scheme val="minor"/>
      </rPr>
      <t>ii)</t>
    </r>
    <r>
      <rPr>
        <sz val="10.5"/>
        <color theme="1"/>
        <rFont val="Calibri"/>
        <family val="2"/>
        <scheme val="minor"/>
      </rPr>
      <t xml:space="preserve"> las representantes de la Alcaldía de Neiva y la Secretaría de Equidad e Inclusión y el Dr. Fabio Alexander Salazar Piñeros (Coordinador del proyecto) y su equipo de trabajo conformado por los contratistas JUAN CARLOS ALBARRACÍN (Gestor de proyectos y responsable de comunicaciones del proyecto) y MERCY JULIETH OLAYA CORREDOR (Asesora Jurídica y Apoyo a la gestión adtiva. del proyecto), personal  contratado durante la vigencia del primer semestre del año 2018, para el apoyo a la gestión de los proyectos del SP.PY6., con el ánimo de adelantar las actividades jurídicas y administrativas necesarias para la celebración de un convenio durante el segundo semestre del año 2018, por medio del cual se de continuidad a las actividades de formación consistentes en la realización de la segunda fase de Diplomado dirigido a una población beneficiaría, desarrollando gestiones previas necesarias para la consecusión de las actividades que se han determinado para el proyecto.  </t>
    </r>
    <r>
      <rPr>
        <b/>
        <sz val="10.5"/>
        <color theme="1"/>
        <rFont val="Calibri"/>
        <family val="2"/>
        <scheme val="minor"/>
      </rPr>
      <t xml:space="preserve">Como soportes, se allegan copias de las Actas de reunión celebradas con los miembros del Comité Interfacultades y las representantes de la Alcaldía de Neiva (Secretaría de Equidad e Inclusión). Es importante resaltar que se han ejecutado 4 reuniones preparatorias para la organización del Foro de Empresas y Derechos Humanos que pretenden abordar la Política Pública en dicho tema.  la PP Nacional o Plan de Aciión en Empresas y DDHH, se llevará a cabo un Foro Internacional en el mes de octubre impulsando la ASR, el observatorio Surcolombianode DH (OBSURDH), la ONG Colombiana Tierra Digna y la red internacional DH  (RIDH) con sede en Ginebra - Suiza. </t>
    </r>
  </si>
  <si>
    <t>NO REPORTA ACTIVIDADES EN EL MES DE JULIO DE 2018 POR RECESO DE ACTIVIDADES ESTUDIANTILES.</t>
  </si>
  <si>
    <t>INFORME DE LA COORDINADORA DE DEPORTES, SOBRE LAS ACTIVIDADES ERALIZADAS EN EL MES DE JULIO.</t>
  </si>
  <si>
    <t xml:space="preserve">1. INFORME DE GESTIÓN DEL MES DE JULIO DE LA COORDINADORA DE EXTENSIÓN CULTURAL.
</t>
  </si>
  <si>
    <t>EN EL MES DE JULIO DE 2018 NO SE REALIZARON ACTIVIDADES DE CLIMA ORGANIZACIONA.</t>
  </si>
  <si>
    <t>EN EL MES DE JULIO DE 2018 NO SE REPORTÓ AVANCE, TENIENDO EN CUENTA QUE SE EMPEZÓ EN EL MES DE JULIO A TRABAJAR EN EL PLAN DE MEJORAMIOENTO.</t>
  </si>
  <si>
    <r>
      <t xml:space="preserve">Formulación de un Modelo de Autoevaluación Institucional que referencia la metodología del proceso de autoevaluación, la interacción de comunicación continua y las formas de organización  del trabajo y las relaciones entre objetos, sujetos y circunstancias, con base en los lineamientos institucionales (PEU) nacionales e internacionales.                                                                                                                                      *Documento Creación de la Oficina de Aseguramiento de la Calidad.                                                                                                                *Documento Modelo de Autoevaluación                                                                                                                                                                     *Plan de trabajo Formulado y socializado.                                                                                                                                                            *Estado actual de los programas de la Institución respecto de renovación de registros calificados, acreditación y reacreditación                                                                                                                                                                                                                </t>
    </r>
    <r>
      <rPr>
        <b/>
        <sz val="10"/>
        <color theme="1"/>
        <rFont val="Calibri"/>
        <family val="2"/>
        <scheme val="minor"/>
      </rPr>
      <t>JULIO:</t>
    </r>
    <r>
      <rPr>
        <sz val="10"/>
        <color theme="1"/>
        <rFont val="Calibri"/>
        <family val="2"/>
        <scheme val="minor"/>
      </rPr>
      <t xml:space="preserve"> Modelo de autoevaluación elaborado en el marco del Decreto 1075 de 2015 y lineamientos  para la acreditación institucional Acuerdo 03 de 2015 y Acuerdo 03 de 2017 -CESU-.                                                                                                         </t>
    </r>
    <r>
      <rPr>
        <b/>
        <sz val="10"/>
        <color theme="1"/>
        <rFont val="Calibri"/>
        <family val="2"/>
        <scheme val="minor"/>
      </rPr>
      <t>AGOSTO:</t>
    </r>
    <r>
      <rPr>
        <sz val="10"/>
        <color theme="1"/>
        <rFont val="Calibri"/>
        <family val="2"/>
        <scheme val="minor"/>
      </rPr>
      <t xml:space="preserve"> Apropiación del Decreto 1280 de 25 de julio del MEN: «Por el cual se reglamenta el Sistema de Aseguramiento de la Calidad de la Educación Superior, el registro calificado de que trata la Ley 1188 de 2008 y los artículos 53 y 54 de la Ley 30 de 1992 sobre acreditación, por lo que se subrogan los Capítulos 2 y 7 del Título 3 de la Parte 5 del Libro 2 del Decreto 1075 de 2015 -Único Reglamentario del Sector Educación-».                                                                                                                                                                                                          *Acuerdo 01 del 9 de agosto de 2018, "Por el cual se actualizan los lineamientos para acreditación de alta calidad institucional y de programas de pregrado."                                                                                                                                         </t>
    </r>
    <r>
      <rPr>
        <b/>
        <sz val="10"/>
        <color theme="1"/>
        <rFont val="Calibri"/>
        <family val="2"/>
        <scheme val="minor"/>
      </rPr>
      <t>SEPTIEMBRE:</t>
    </r>
    <r>
      <rPr>
        <sz val="10"/>
        <color theme="1"/>
        <rFont val="Calibri"/>
        <family val="2"/>
        <scheme val="minor"/>
      </rPr>
      <t xml:space="preserve"> Propuesta de Resolución de la Política de Aseguramiento de la Calidad.
*Propuesta de Resolución Constitución del Comité de Aseguramiento de la Calidad.
*Primer Borrador del Modelo de Autoevaluación en el marco de la nueva directris del MEN y CESU,                          *Socialización del Decreto 1280 y Acuerdo 01 de 2018:
a- Consejo Académico.
B- Consejos de Facultad de Ingenierías - Cs. Económicas - Cs Jurídicas - Salud - Cs Sociales.
C. Comité de Acreditación Institucional                                                                                                                                                                      * Apropiación del Documento de Referentes de Calidad</t>
    </r>
  </si>
  <si>
    <r>
      <t xml:space="preserve">*CAPACITACION A EMPLEADOS ADMINISTRATIVOS DE LA UNIVERSIDAD SURCOLOMBIANA: Seminarios, talleres, apoyo para matriculas.                                                                                                                                                                                                 </t>
    </r>
    <r>
      <rPr>
        <b/>
        <sz val="11"/>
        <color theme="1"/>
        <rFont val="Calibri"/>
        <family val="2"/>
        <scheme val="minor"/>
      </rPr>
      <t>JULIO</t>
    </r>
    <r>
      <rPr>
        <sz val="11"/>
        <color theme="1"/>
        <rFont val="Calibri"/>
        <family val="2"/>
        <scheme val="minor"/>
      </rPr>
      <t xml:space="preserve">: CAPACITACION A TRABAJADORES OFICIALES DE LA UNIVERSIDAD SURCOLOMBIANA                                                </t>
    </r>
    <r>
      <rPr>
        <b/>
        <sz val="11"/>
        <color theme="1"/>
        <rFont val="Calibri"/>
        <family val="2"/>
        <scheme val="minor"/>
      </rPr>
      <t>SEPTIEMBRE</t>
    </r>
    <r>
      <rPr>
        <sz val="11"/>
        <color theme="1"/>
        <rFont val="Calibri"/>
        <family val="2"/>
        <scheme val="minor"/>
      </rPr>
      <t>: CAPACITACION PERSONAL ADMINISTRATIVO Y TRABAJADORES EN LA SEGUNDA LENGUA INGLES                        *ADQUISICION DE TEXTOS PARA EL DESARROLLO DEL CURSO DE INGLES A 8 FUNCIONARIOS DE LA FACULTAD DE SALUD</t>
    </r>
  </si>
  <si>
    <r>
      <rPr>
        <sz val="10"/>
        <color theme="1"/>
        <rFont val="Calibri"/>
        <family val="2"/>
        <scheme val="minor"/>
      </rPr>
      <t xml:space="preserve">    </t>
    </r>
    <r>
      <rPr>
        <b/>
        <sz val="11"/>
        <color theme="1"/>
        <rFont val="Calibri"/>
        <family val="2"/>
        <scheme val="minor"/>
      </rPr>
      <t>JULIO:</t>
    </r>
    <r>
      <rPr>
        <sz val="10"/>
        <color theme="1"/>
        <rFont val="Calibri"/>
        <family val="2"/>
        <scheme val="minor"/>
      </rPr>
      <t xml:space="preserve"> MANTENIMIENTO CORRECTIVO Y PREVENTIVO DE PLANTAS ELECTRICAS Y SUMINISTRO E INSTALACION DE LAMPARAS PARA CANCHA DE FUTBOL.                                                                                                                                                                                          *MANTENIMIENTO DE AIRES ACONDICIONADOS                                                                                                                                             *ADICION A CONTRATO UC 046 - OBRA DE CONSTRUCCION DE SUBESTACION ELECTRICA Y ACOMETIDAS EN LA FACULTAD DE SALUD                                                                                                                                                                                                                   </t>
    </r>
    <r>
      <rPr>
        <b/>
        <sz val="11"/>
        <color theme="1"/>
        <rFont val="Calibri"/>
        <family val="2"/>
        <scheme val="minor"/>
      </rPr>
      <t>AGOSTO:</t>
    </r>
    <r>
      <rPr>
        <sz val="10"/>
        <color theme="1"/>
        <rFont val="Calibri"/>
        <family val="2"/>
        <scheme val="minor"/>
      </rPr>
      <t xml:space="preserve"> *ADECUACION DE INFRAESTRUCTURA PARA INSTALACION DE EQUIPOS DE OFICINA                                                *ADECUACION DE ESPACIO FISICOS LABORATORIO DE INGENIERIA DE PETROLEOS CONVENIO CONSEJO PROFESIONAL                                                                                                                                                                                  </t>
    </r>
    <r>
      <rPr>
        <b/>
        <sz val="11"/>
        <color theme="1"/>
        <rFont val="Calibri"/>
        <family val="2"/>
        <scheme val="minor"/>
      </rPr>
      <t>SEPTIEMBRE</t>
    </r>
    <r>
      <rPr>
        <sz val="10"/>
        <color theme="1"/>
        <rFont val="Calibri"/>
        <family val="2"/>
        <scheme val="minor"/>
      </rPr>
      <t>: *ADECUACION, MANTENIMIENTO Y DOTACION DE EQUIPOS DE OFICINA PARA LA OFICINA DE SALUD FAMILIAR DE LA USCO                                                                                                                                                                                                         *ADECUACION Y MEJORAMIENTO INFRAESTRUCTURA ESTACION EXPERIMENTAL                                                               *ADECUACIONES Y MANTENIMIENTOS MEJORA EN INFRAESTRUCTURA DE LAS SEDES</t>
    </r>
  </si>
  <si>
    <r>
      <rPr>
        <b/>
        <sz val="11"/>
        <color theme="1"/>
        <rFont val="Calibri"/>
        <family val="2"/>
        <scheme val="minor"/>
      </rPr>
      <t>JULIO</t>
    </r>
    <r>
      <rPr>
        <sz val="11"/>
        <color theme="1"/>
        <rFont val="Calibri"/>
        <family val="2"/>
        <scheme val="minor"/>
      </rPr>
      <t>:</t>
    </r>
    <r>
      <rPr>
        <sz val="10"/>
        <color theme="1"/>
        <rFont val="Calibri"/>
        <family val="2"/>
        <scheme val="minor"/>
      </rPr>
      <t xml:space="preserve"> DOTACION DE MUEBLES Y EQUIPOS DE OFICINA COMO DESARROLLO, DOTACION, MANTENIMIENTO DE LA FACULTAD DE EDUCACION                                                                                                                                                                                                   *ADQUISICION DE AIRES ACONDICIONADOS                                                                                                                                        </t>
    </r>
    <r>
      <rPr>
        <b/>
        <sz val="11"/>
        <color theme="1"/>
        <rFont val="Calibri"/>
        <family val="2"/>
        <scheme val="minor"/>
      </rPr>
      <t>AGOSTO:</t>
    </r>
    <r>
      <rPr>
        <sz val="10"/>
        <color theme="1"/>
        <rFont val="Calibri"/>
        <family val="2"/>
        <scheme val="minor"/>
      </rPr>
      <t xml:space="preserve"> ADQUISICION E INSTALACION DE EQUIPOS DE OFICINA, REPUESTOS Y EQUIPOS DE VIDEO                               *ADQUISICION DE MUEBLES, PERSIANAS Y REALIZAR EL MANTENIMIENTO DE MUEBLES PROGRAMA ADMON DE EMPRESAS.                                                                                                                                                                                      </t>
    </r>
    <r>
      <rPr>
        <b/>
        <sz val="11"/>
        <color theme="1"/>
        <rFont val="Calibri"/>
        <family val="2"/>
        <scheme val="minor"/>
      </rPr>
      <t>SEPTIEMBRE</t>
    </r>
    <r>
      <rPr>
        <sz val="10"/>
        <color theme="1"/>
        <rFont val="Calibri"/>
        <family val="2"/>
        <scheme val="minor"/>
      </rPr>
      <t>:  ADECUACION, MANTENIMIENTO Y DOTACION DE EQUIPOS DE OFICINA PARA LA OFICINA DE SALUD FAMILIAR DE LA USCO</t>
    </r>
  </si>
  <si>
    <r>
      <rPr>
        <sz val="10"/>
        <color theme="1"/>
        <rFont val="Calibri"/>
        <family val="2"/>
        <scheme val="minor"/>
      </rPr>
      <t xml:space="preserve">   </t>
    </r>
    <r>
      <rPr>
        <b/>
        <sz val="11"/>
        <color theme="1"/>
        <rFont val="Calibri"/>
        <family val="2"/>
        <scheme val="minor"/>
      </rPr>
      <t>AGOSTO:</t>
    </r>
    <r>
      <rPr>
        <sz val="10"/>
        <color theme="1"/>
        <rFont val="Calibri"/>
        <family val="2"/>
        <scheme val="minor"/>
      </rPr>
      <t xml:space="preserve">  COMPRA E INSTALACION DE CAMARA DE GESSEL Y ELEMENTOS PARA DOTACION DE LABORATORIO DE PSICOLOGIA SEDE LA PLATA                                                                                                                                                                                                                      *DOTACION DE MUEBLES Y EQUIPOS DE LABORATORIO DE INGENIERIA DE PETROLEOS CONVENIO CONSEJO PROFESIONAL ING. PETROLEOS</t>
    </r>
  </si>
  <si>
    <r>
      <t xml:space="preserve">                                                                                                                                                                                                         </t>
    </r>
    <r>
      <rPr>
        <b/>
        <sz val="11"/>
        <color theme="1"/>
        <rFont val="Calibri"/>
        <family val="2"/>
        <scheme val="minor"/>
      </rPr>
      <t>SEPTIEMBRE</t>
    </r>
    <r>
      <rPr>
        <sz val="11"/>
        <color theme="1"/>
        <rFont val="Calibri"/>
        <family val="2"/>
        <scheme val="minor"/>
      </rPr>
      <t xml:space="preserve">: </t>
    </r>
    <r>
      <rPr>
        <sz val="10"/>
        <color theme="1"/>
        <rFont val="Calibri"/>
        <family val="2"/>
        <scheme val="minor"/>
      </rPr>
      <t>RENOVACION DE SUSCRIPCION ANUAL BASE DE DATOS ESPECIALIZADA INFOLEGAL DMS PARA LA USCO                                                                                                                                                                                                *ADQUISICION DE SOFTWARE WOLFRAN MATEMATICA CON DESTINO A LA BIBLIOTECA DE LA USCO                                     *ADQUISICION DE MEMBRESIAS RED GLOBAL DE CONOCIMIENTOS EN AUDITORIA Y CONTROL INTERNO</t>
    </r>
  </si>
  <si>
    <r>
      <rPr>
        <sz val="10"/>
        <color theme="1"/>
        <rFont val="Calibri"/>
        <family val="2"/>
        <scheme val="minor"/>
      </rPr>
      <t xml:space="preserve"> </t>
    </r>
    <r>
      <rPr>
        <b/>
        <sz val="11"/>
        <color theme="1"/>
        <rFont val="Calibri"/>
        <family val="2"/>
        <scheme val="minor"/>
      </rPr>
      <t>JULIO</t>
    </r>
    <r>
      <rPr>
        <sz val="10"/>
        <color theme="1"/>
        <rFont val="Calibri"/>
        <family val="2"/>
        <scheme val="minor"/>
      </rPr>
      <t xml:space="preserve">:   ADQUISICION DE AIRES ACONDICIONADOS                                                                                                                        </t>
    </r>
    <r>
      <rPr>
        <b/>
        <sz val="11"/>
        <color theme="1"/>
        <rFont val="Calibri"/>
        <family val="2"/>
        <scheme val="minor"/>
      </rPr>
      <t>AGOSTO</t>
    </r>
    <r>
      <rPr>
        <sz val="10"/>
        <color theme="1"/>
        <rFont val="Calibri"/>
        <family val="2"/>
        <scheme val="minor"/>
      </rPr>
      <t xml:space="preserve">: ADQUISICION E INSTALACION DE EQUIPOS DE OFICINA, REPUESTOS Y EQUIPOS DE VIDEO                                   *ADQUISICION DE MUEBLES, PERSIANAS Y REALIZAR EL MANTENIMIENTO DE MUEBLES PROGRAMA ADMON DE EMPRESAS.                                                 </t>
    </r>
    <r>
      <rPr>
        <b/>
        <sz val="11"/>
        <color theme="1"/>
        <rFont val="Calibri"/>
        <family val="2"/>
        <scheme val="minor"/>
      </rPr>
      <t/>
    </r>
  </si>
  <si>
    <r>
      <rPr>
        <b/>
        <sz val="10"/>
        <color theme="1"/>
        <rFont val="Calibri"/>
        <family val="2"/>
        <scheme val="minor"/>
      </rPr>
      <t>AGOSTO:</t>
    </r>
    <r>
      <rPr>
        <sz val="10"/>
        <color theme="1"/>
        <rFont val="Calibri"/>
        <family val="2"/>
        <scheme val="minor"/>
      </rPr>
      <t xml:space="preserve"> COMPRA DE ELEMENTOS DE ASEO Y CAFETERIA NECESARIOS PARA LA FACULTAD DE CIENCIAS EXACTAS                    </t>
    </r>
    <r>
      <rPr>
        <b/>
        <sz val="10"/>
        <color theme="1"/>
        <rFont val="Calibri"/>
        <family val="2"/>
        <scheme val="minor"/>
      </rPr>
      <t>SEPTIEMBRE:</t>
    </r>
    <r>
      <rPr>
        <sz val="10"/>
        <color theme="1"/>
        <rFont val="Calibri"/>
        <family val="2"/>
        <scheme val="minor"/>
      </rPr>
      <t xml:space="preserve"> DOTACION DE ELEMENTOS DE CAFETERIA Y ASEO FAC. EDUCACION</t>
    </r>
  </si>
  <si>
    <r>
      <rPr>
        <b/>
        <sz val="11"/>
        <color theme="1"/>
        <rFont val="Calibri"/>
        <family val="2"/>
        <scheme val="minor"/>
      </rPr>
      <t xml:space="preserve">JULIO: </t>
    </r>
    <r>
      <rPr>
        <sz val="11"/>
        <color theme="1"/>
        <rFont val="Calibri"/>
        <family val="2"/>
        <scheme val="minor"/>
      </rPr>
      <t>RENOVACION DE LICENCIAMIENTO CAMPUS AGREEMENT                                                                                             *ADQUISICION DE LICENCIAMIENTO DE ANTIVIRUS</t>
    </r>
  </si>
  <si>
    <r>
      <t xml:space="preserve"> </t>
    </r>
    <r>
      <rPr>
        <b/>
        <sz val="11"/>
        <color theme="1"/>
        <rFont val="Calibri"/>
        <family val="2"/>
        <scheme val="minor"/>
      </rPr>
      <t>JULIO</t>
    </r>
    <r>
      <rPr>
        <sz val="11"/>
        <color theme="1"/>
        <rFont val="Calibri"/>
        <family val="2"/>
        <scheme val="minor"/>
      </rPr>
      <t>: CONTRATACIÓN PERSONAL DE CTIC</t>
    </r>
  </si>
  <si>
    <r>
      <rPr>
        <sz val="10"/>
        <color theme="1"/>
        <rFont val="Calibri"/>
        <family val="2"/>
        <scheme val="minor"/>
      </rPr>
      <t xml:space="preserve"> </t>
    </r>
    <r>
      <rPr>
        <b/>
        <sz val="11"/>
        <color theme="1"/>
        <rFont val="Calibri"/>
        <family val="2"/>
        <scheme val="minor"/>
      </rPr>
      <t>JULIO</t>
    </r>
    <r>
      <rPr>
        <sz val="10"/>
        <color theme="1"/>
        <rFont val="Calibri"/>
        <family val="2"/>
        <scheme val="minor"/>
      </rPr>
      <t>: DESARROLLO DE ACTIVIDADES Y VINCULACION DE PERSONAL GESTION AMBIENTAL SEGUNDO SEMESTRE DE 2018</t>
    </r>
  </si>
  <si>
    <r>
      <rPr>
        <sz val="10"/>
        <color theme="1"/>
        <rFont val="Calibri"/>
        <family val="2"/>
        <scheme val="minor"/>
      </rPr>
      <t xml:space="preserve"> </t>
    </r>
    <r>
      <rPr>
        <b/>
        <sz val="11"/>
        <color theme="1"/>
        <rFont val="Calibri"/>
        <family val="2"/>
        <scheme val="minor"/>
      </rPr>
      <t>JULIO:</t>
    </r>
    <r>
      <rPr>
        <sz val="10"/>
        <color theme="1"/>
        <rFont val="Calibri"/>
        <family val="2"/>
        <scheme val="minor"/>
      </rPr>
      <t xml:space="preserve"> CONTRATACION PERSONAL PROYECTO GESTION DE CALIDAD SEM II-2018                                                                                                                                                                                          </t>
    </r>
    <r>
      <rPr>
        <b/>
        <sz val="11"/>
        <color theme="1"/>
        <rFont val="Calibri"/>
        <family val="2"/>
        <scheme val="minor"/>
      </rPr>
      <t>AGOSTO:</t>
    </r>
    <r>
      <rPr>
        <sz val="10"/>
        <color theme="1"/>
        <rFont val="Calibri"/>
        <family val="2"/>
        <scheme val="minor"/>
      </rPr>
      <t xml:space="preserve"> DESARROLLO DE ACTIVIDADES Y VINCULACION DE PERSONAL GESTION DE CALIDAD SEGUNDO SEMESTRE 2018</t>
    </r>
  </si>
</sst>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6" formatCode="&quot;$&quot;\ #,##0_);[Red]\(&quot;$&quot;\ #,##0\)"/>
    <numFmt numFmtId="44" formatCode="_(&quot;$&quot;\ * #,##0.00_);_(&quot;$&quot;\ * \(#,##0.00\);_(&quot;$&quot;\ * &quot;-&quot;??_);_(@_)"/>
    <numFmt numFmtId="43" formatCode="_(* #,##0.00_);_(* \(#,##0.00\);_(* &quot;-&quot;??_);_(@_)"/>
    <numFmt numFmtId="164" formatCode="_-* #,##0_-;\-* #,##0_-;_-* &quot;-&quot;_-;_-@_-"/>
    <numFmt numFmtId="165" formatCode="#,##0_ ;\-#,##0\ "/>
    <numFmt numFmtId="166" formatCode="_([$$-240A]\ * #,##0_);_([$$-240A]\ * \(#,##0\);_([$$-240A]\ * &quot;-&quot;??_);_(@_)"/>
    <numFmt numFmtId="167" formatCode="_(&quot;$&quot;\ * #,##0_);_(&quot;$&quot;\ * \(#,##0\);_(&quot;$&quot;\ * &quot;-&quot;??_);_(@_)"/>
    <numFmt numFmtId="168" formatCode="_-* #,##0.00_-;\-* #,##0.00_-;_-* &quot;-&quot;_-;_-@_-"/>
    <numFmt numFmtId="169" formatCode="&quot;$&quot;\ #,##0"/>
    <numFmt numFmtId="170" formatCode="0.000"/>
    <numFmt numFmtId="171" formatCode="_-* #,##0.00\ [$€]_-;\-* #,##0.00\ [$€]_-;_-* &quot;-&quot;??\ [$€]_-;_-@_-"/>
    <numFmt numFmtId="172" formatCode="#,##0_ ;[Red]\-#,##0\ "/>
    <numFmt numFmtId="173" formatCode="_ * #,##0.00_ ;_ * \-#,##0.00_ ;_ * &quot;-&quot;??_ ;_ @_ "/>
    <numFmt numFmtId="174" formatCode="0.0"/>
    <numFmt numFmtId="175" formatCode="_(&quot;$&quot;\ * #,##0.0_);_(&quot;$&quot;\ * \(#,##0.0\);_(&quot;$&quot;\ * &quot;-&quot;??_);_(@_)"/>
  </numFmts>
  <fonts count="38" x14ac:knownFonts="1">
    <font>
      <sz val="11"/>
      <color theme="1"/>
      <name val="Calibri"/>
      <family val="2"/>
      <scheme val="minor"/>
    </font>
    <font>
      <b/>
      <sz val="9"/>
      <color rgb="FF000000"/>
      <name val="Calibri"/>
      <family val="2"/>
      <scheme val="minor"/>
    </font>
    <font>
      <b/>
      <sz val="16"/>
      <color theme="1"/>
      <name val="Batang"/>
      <family val="1"/>
    </font>
    <font>
      <b/>
      <sz val="10"/>
      <color rgb="FF000000"/>
      <name val="Calibri"/>
      <family val="2"/>
      <scheme val="minor"/>
    </font>
    <font>
      <sz val="10"/>
      <color rgb="FF000000"/>
      <name val="Calibri"/>
      <family val="2"/>
      <scheme val="minor"/>
    </font>
    <font>
      <b/>
      <sz val="16"/>
      <color rgb="FF000000"/>
      <name val="Batang"/>
      <family val="1"/>
    </font>
    <font>
      <sz val="10"/>
      <color theme="1"/>
      <name val="Calibri"/>
      <family val="2"/>
      <scheme val="minor"/>
    </font>
    <font>
      <b/>
      <sz val="16"/>
      <color rgb="FF000000"/>
      <name val="BatangChe"/>
      <family val="3"/>
    </font>
    <font>
      <b/>
      <sz val="9"/>
      <color theme="1"/>
      <name val="Calibri"/>
      <family val="2"/>
      <scheme val="minor"/>
    </font>
    <font>
      <b/>
      <sz val="10"/>
      <color theme="1"/>
      <name val="Calibri"/>
      <family val="2"/>
      <scheme val="minor"/>
    </font>
    <font>
      <sz val="10"/>
      <color rgb="FF000000"/>
      <name val="Arial"/>
      <family val="2"/>
    </font>
    <font>
      <sz val="11"/>
      <color theme="1"/>
      <name val="Calibri"/>
      <family val="2"/>
      <scheme val="minor"/>
    </font>
    <font>
      <b/>
      <sz val="11"/>
      <color theme="0"/>
      <name val="Calibri"/>
      <family val="2"/>
      <scheme val="minor"/>
    </font>
    <font>
      <sz val="9"/>
      <color theme="1"/>
      <name val="Calibri"/>
      <family val="2"/>
      <scheme val="minor"/>
    </font>
    <font>
      <sz val="10"/>
      <name val="Arial"/>
      <family val="2"/>
    </font>
    <font>
      <b/>
      <sz val="10"/>
      <color theme="0"/>
      <name val="Arial"/>
      <family val="2"/>
    </font>
    <font>
      <sz val="10"/>
      <color theme="1"/>
      <name val="Arial"/>
      <family val="2"/>
    </font>
    <font>
      <sz val="11"/>
      <color rgb="FFFF0000"/>
      <name val="Calibri"/>
      <family val="2"/>
      <scheme val="minor"/>
    </font>
    <font>
      <b/>
      <sz val="11"/>
      <color theme="1"/>
      <name val="Calibri"/>
      <family val="2"/>
      <scheme val="minor"/>
    </font>
    <font>
      <i/>
      <sz val="11"/>
      <color theme="1"/>
      <name val="Calibri"/>
      <family val="2"/>
      <scheme val="minor"/>
    </font>
    <font>
      <sz val="12"/>
      <color theme="1"/>
      <name val="Calibri"/>
      <family val="2"/>
      <scheme val="minor"/>
    </font>
    <font>
      <sz val="8"/>
      <color indexed="81"/>
      <name val="Tahoma"/>
      <family val="2"/>
    </font>
    <font>
      <b/>
      <sz val="12"/>
      <color theme="0"/>
      <name val="Arial"/>
      <family val="2"/>
    </font>
    <font>
      <b/>
      <sz val="9"/>
      <color indexed="81"/>
      <name val="Tahoma"/>
      <family val="2"/>
    </font>
    <font>
      <sz val="10.5"/>
      <color theme="1"/>
      <name val="Calibri"/>
      <family val="2"/>
      <scheme val="minor"/>
    </font>
    <font>
      <b/>
      <sz val="10.5"/>
      <color theme="1"/>
      <name val="Calibri"/>
      <family val="2"/>
      <scheme val="minor"/>
    </font>
    <font>
      <sz val="11"/>
      <color theme="0"/>
      <name val="Calibri"/>
      <family val="2"/>
      <scheme val="minor"/>
    </font>
    <font>
      <b/>
      <sz val="9"/>
      <color theme="0"/>
      <name val="Calibri"/>
      <family val="2"/>
      <scheme val="minor"/>
    </font>
    <font>
      <b/>
      <sz val="8"/>
      <color indexed="81"/>
      <name val="Tahoma"/>
      <family val="2"/>
    </font>
    <font>
      <sz val="72"/>
      <color theme="1"/>
      <name val="Calibri"/>
      <family val="2"/>
      <scheme val="minor"/>
    </font>
    <font>
      <sz val="12"/>
      <color theme="1"/>
      <name val="Tahoma"/>
      <family val="2"/>
    </font>
    <font>
      <sz val="11"/>
      <color rgb="FF000000"/>
      <name val="Calibri"/>
      <family val="2"/>
      <charset val="1"/>
    </font>
    <font>
      <sz val="10"/>
      <name val="Arial"/>
      <family val="2"/>
      <charset val="1"/>
    </font>
    <font>
      <b/>
      <sz val="11"/>
      <color theme="0"/>
      <name val="Calibri"/>
      <family val="2"/>
      <charset val="1"/>
    </font>
    <font>
      <sz val="10"/>
      <color rgb="FFFF0000"/>
      <name val="Calibri"/>
      <family val="2"/>
      <scheme val="minor"/>
    </font>
    <font>
      <sz val="10"/>
      <color rgb="FFFF0000"/>
      <name val="Arial"/>
      <family val="2"/>
    </font>
    <font>
      <sz val="11"/>
      <name val="Calibri"/>
      <family val="2"/>
      <scheme val="minor"/>
    </font>
    <font>
      <sz val="11"/>
      <name val="Arial"/>
      <family val="2"/>
    </font>
  </fonts>
  <fills count="21">
    <fill>
      <patternFill patternType="none"/>
    </fill>
    <fill>
      <patternFill patternType="gray125"/>
    </fill>
    <fill>
      <patternFill patternType="solid">
        <fgColor rgb="FFB8CCE4"/>
        <bgColor indexed="64"/>
      </patternFill>
    </fill>
    <fill>
      <patternFill patternType="solid">
        <fgColor rgb="FFFFD5FF"/>
        <bgColor indexed="64"/>
      </patternFill>
    </fill>
    <fill>
      <patternFill patternType="solid">
        <fgColor rgb="FFD8E4BC"/>
        <bgColor indexed="64"/>
      </patternFill>
    </fill>
    <fill>
      <patternFill patternType="solid">
        <fgColor rgb="FFFFFFCC"/>
        <bgColor indexed="64"/>
      </patternFill>
    </fill>
    <fill>
      <patternFill patternType="solid">
        <fgColor rgb="FFFCD5B4"/>
        <bgColor indexed="64"/>
      </patternFill>
    </fill>
    <fill>
      <patternFill patternType="solid">
        <fgColor rgb="FFFFFFFF"/>
        <bgColor indexed="64"/>
      </patternFill>
    </fill>
    <fill>
      <patternFill patternType="solid">
        <fgColor theme="0"/>
        <bgColor indexed="64"/>
      </patternFill>
    </fill>
    <fill>
      <patternFill patternType="solid">
        <fgColor theme="7" tint="0.39997558519241921"/>
        <bgColor indexed="64"/>
      </patternFill>
    </fill>
    <fill>
      <patternFill patternType="solid">
        <fgColor theme="6" tint="0.59999389629810485"/>
        <bgColor indexed="64"/>
      </patternFill>
    </fill>
    <fill>
      <patternFill patternType="solid">
        <fgColor rgb="FFFFFF66"/>
        <bgColor indexed="64"/>
      </patternFill>
    </fill>
    <fill>
      <patternFill patternType="solid">
        <fgColor theme="7" tint="-0.249977111117893"/>
        <bgColor indexed="64"/>
      </patternFill>
    </fill>
    <fill>
      <patternFill patternType="solid">
        <fgColor rgb="FFFF9966"/>
        <bgColor indexed="64"/>
      </patternFill>
    </fill>
    <fill>
      <patternFill patternType="solid">
        <fgColor rgb="FFAD142E"/>
        <bgColor indexed="64"/>
      </patternFill>
    </fill>
    <fill>
      <patternFill patternType="solid">
        <fgColor rgb="FF8D191D"/>
        <bgColor indexed="64"/>
      </patternFill>
    </fill>
    <fill>
      <patternFill patternType="solid">
        <fgColor theme="7" tint="0.79998168889431442"/>
        <bgColor indexed="64"/>
      </patternFill>
    </fill>
    <fill>
      <patternFill patternType="solid">
        <fgColor rgb="FFFFC000"/>
        <bgColor indexed="64"/>
      </patternFill>
    </fill>
    <fill>
      <patternFill patternType="solid">
        <fgColor rgb="FFFFFF00"/>
        <bgColor indexed="64"/>
      </patternFill>
    </fill>
    <fill>
      <patternFill patternType="solid">
        <fgColor theme="8" tint="0.59999389629810485"/>
        <bgColor indexed="65"/>
      </patternFill>
    </fill>
    <fill>
      <patternFill patternType="solid">
        <fgColor rgb="FFAD142E"/>
        <bgColor rgb="FFFDE9D9"/>
      </patternFill>
    </fill>
  </fills>
  <borders count="35">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s>
  <cellStyleXfs count="18">
    <xf numFmtId="0" fontId="0" fillId="0" borderId="0"/>
    <xf numFmtId="9" fontId="11" fillId="0" borderId="0" applyFont="0" applyFill="0" applyBorder="0" applyAlignment="0" applyProtection="0"/>
    <xf numFmtId="164" fontId="11" fillId="0" borderId="0" applyFont="0" applyFill="0" applyBorder="0" applyAlignment="0" applyProtection="0"/>
    <xf numFmtId="44" fontId="11" fillId="0" borderId="0" applyFont="0" applyFill="0" applyBorder="0" applyAlignment="0" applyProtection="0"/>
    <xf numFmtId="0" fontId="30" fillId="19" borderId="0" applyNumberFormat="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2" fontId="14" fillId="0" borderId="0" applyFont="0" applyFill="0" applyBorder="0" applyAlignment="0" applyProtection="0"/>
    <xf numFmtId="172"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0" fontId="14" fillId="0" borderId="0"/>
    <xf numFmtId="0" fontId="14" fillId="0" borderId="0"/>
    <xf numFmtId="0" fontId="14" fillId="0" borderId="0"/>
    <xf numFmtId="0" fontId="14" fillId="0" borderId="0"/>
    <xf numFmtId="0" fontId="31" fillId="0" borderId="0"/>
    <xf numFmtId="0" fontId="32" fillId="0" borderId="0"/>
    <xf numFmtId="43" fontId="11" fillId="0" borderId="0" applyFont="0" applyFill="0" applyBorder="0" applyAlignment="0" applyProtection="0"/>
  </cellStyleXfs>
  <cellXfs count="370">
    <xf numFmtId="0" fontId="0" fillId="0" borderId="0" xfId="0"/>
    <xf numFmtId="0" fontId="1" fillId="2" borderId="7"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3" fillId="0" borderId="7" xfId="0" applyFont="1" applyBorder="1" applyAlignment="1">
      <alignment horizontal="justify" vertical="center" wrapText="1"/>
    </xf>
    <xf numFmtId="0" fontId="4" fillId="0" borderId="7" xfId="0" applyFont="1" applyBorder="1" applyAlignment="1">
      <alignment horizontal="justify" vertical="center" wrapText="1"/>
    </xf>
    <xf numFmtId="0" fontId="3" fillId="0" borderId="8" xfId="0" applyFont="1" applyBorder="1" applyAlignment="1">
      <alignment horizontal="center" vertical="center" wrapText="1"/>
    </xf>
    <xf numFmtId="3" fontId="3" fillId="0" borderId="8" xfId="0" applyNumberFormat="1" applyFont="1" applyBorder="1" applyAlignment="1">
      <alignment horizontal="center" vertical="center"/>
    </xf>
    <xf numFmtId="9" fontId="4" fillId="0" borderId="7" xfId="0" applyNumberFormat="1" applyFont="1" applyBorder="1" applyAlignment="1">
      <alignment horizontal="center" vertical="center"/>
    </xf>
    <xf numFmtId="1" fontId="4" fillId="0" borderId="5" xfId="0" applyNumberFormat="1" applyFont="1" applyBorder="1" applyAlignment="1">
      <alignment horizontal="center" vertical="center"/>
    </xf>
    <xf numFmtId="1" fontId="0" fillId="0" borderId="0" xfId="0" applyNumberFormat="1"/>
    <xf numFmtId="0" fontId="3" fillId="0" borderId="4" xfId="0" applyFont="1" applyBorder="1" applyAlignment="1">
      <alignment horizontal="center" vertical="center"/>
    </xf>
    <xf numFmtId="10" fontId="4" fillId="0" borderId="7" xfId="0" applyNumberFormat="1" applyFont="1" applyBorder="1" applyAlignment="1">
      <alignment horizontal="center" vertical="center"/>
    </xf>
    <xf numFmtId="0" fontId="3" fillId="0" borderId="7" xfId="0" applyFont="1" applyBorder="1" applyAlignment="1">
      <alignment horizontal="center" vertical="center"/>
    </xf>
    <xf numFmtId="9" fontId="3" fillId="0" borderId="7" xfId="0" applyNumberFormat="1" applyFont="1" applyBorder="1" applyAlignment="1">
      <alignment horizontal="center" vertical="center"/>
    </xf>
    <xf numFmtId="0" fontId="0" fillId="0" borderId="0" xfId="0" applyAlignment="1">
      <alignment vertical="center" wrapText="1"/>
    </xf>
    <xf numFmtId="0" fontId="3" fillId="3" borderId="5" xfId="0" applyFont="1" applyFill="1" applyBorder="1" applyAlignment="1">
      <alignment horizontal="center" vertical="center" wrapText="1"/>
    </xf>
    <xf numFmtId="0" fontId="3" fillId="3" borderId="5" xfId="0" applyFont="1" applyFill="1" applyBorder="1" applyAlignment="1">
      <alignment vertical="center" wrapText="1"/>
    </xf>
    <xf numFmtId="0" fontId="3" fillId="3" borderId="0" xfId="0" applyFont="1" applyFill="1" applyBorder="1" applyAlignment="1">
      <alignment horizontal="center" vertical="center" wrapText="1"/>
    </xf>
    <xf numFmtId="0" fontId="4" fillId="0" borderId="7" xfId="0" applyFont="1" applyBorder="1" applyAlignment="1">
      <alignment vertical="center" wrapText="1"/>
    </xf>
    <xf numFmtId="0" fontId="6" fillId="0" borderId="7" xfId="0" applyFont="1" applyBorder="1" applyAlignment="1">
      <alignment horizontal="center" vertical="center"/>
    </xf>
    <xf numFmtId="9" fontId="4" fillId="0" borderId="5" xfId="0" applyNumberFormat="1" applyFont="1" applyBorder="1" applyAlignment="1">
      <alignment horizontal="center" vertical="center"/>
    </xf>
    <xf numFmtId="9" fontId="4" fillId="0" borderId="5" xfId="0" applyNumberFormat="1" applyFont="1" applyBorder="1" applyAlignment="1">
      <alignment vertical="center"/>
    </xf>
    <xf numFmtId="9" fontId="4" fillId="0" borderId="0" xfId="0" applyNumberFormat="1" applyFont="1" applyBorder="1" applyAlignment="1">
      <alignment horizontal="center" vertical="center"/>
    </xf>
    <xf numFmtId="0" fontId="6" fillId="0" borderId="7" xfId="0" applyFont="1" applyBorder="1" applyAlignment="1">
      <alignment horizontal="center" vertical="center" wrapText="1"/>
    </xf>
    <xf numFmtId="0" fontId="6" fillId="0" borderId="7" xfId="0" applyFont="1" applyBorder="1" applyAlignment="1">
      <alignment vertical="center" wrapText="1"/>
    </xf>
    <xf numFmtId="0" fontId="3" fillId="0" borderId="7" xfId="0" applyFont="1" applyBorder="1" applyAlignment="1">
      <alignment vertical="center" wrapText="1"/>
    </xf>
    <xf numFmtId="9" fontId="4" fillId="0" borderId="0" xfId="0" applyNumberFormat="1" applyFont="1" applyBorder="1" applyAlignment="1">
      <alignment vertical="center"/>
    </xf>
    <xf numFmtId="0" fontId="4" fillId="0" borderId="8" xfId="0" applyFont="1" applyBorder="1" applyAlignment="1">
      <alignment vertical="center" wrapText="1"/>
    </xf>
    <xf numFmtId="0" fontId="6" fillId="0" borderId="8" xfId="0" applyFont="1" applyBorder="1" applyAlignment="1">
      <alignment horizontal="center" vertical="center" wrapText="1"/>
    </xf>
    <xf numFmtId="0" fontId="4" fillId="0" borderId="4" xfId="0" applyFont="1" applyBorder="1" applyAlignment="1">
      <alignment vertical="center" wrapText="1"/>
    </xf>
    <xf numFmtId="0" fontId="6" fillId="0" borderId="4" xfId="0" applyFont="1" applyBorder="1" applyAlignment="1">
      <alignment horizontal="center" vertical="center" wrapText="1"/>
    </xf>
    <xf numFmtId="0" fontId="3" fillId="4" borderId="7" xfId="0" applyFont="1" applyFill="1" applyBorder="1" applyAlignment="1">
      <alignment horizontal="center" vertical="center"/>
    </xf>
    <xf numFmtId="0" fontId="4" fillId="0" borderId="7" xfId="0" applyFont="1" applyBorder="1" applyAlignment="1">
      <alignment horizontal="center" vertical="center"/>
    </xf>
    <xf numFmtId="9" fontId="4" fillId="0" borderId="8" xfId="0" applyNumberFormat="1" applyFont="1" applyBorder="1" applyAlignment="1">
      <alignment horizontal="center" vertical="center"/>
    </xf>
    <xf numFmtId="9" fontId="4" fillId="0" borderId="7" xfId="0" applyNumberFormat="1" applyFont="1" applyBorder="1" applyAlignment="1">
      <alignment horizontal="center" vertical="center" wrapText="1"/>
    </xf>
    <xf numFmtId="9" fontId="4" fillId="0" borderId="13" xfId="0" applyNumberFormat="1" applyFont="1" applyBorder="1" applyAlignment="1">
      <alignment horizontal="center" vertical="center"/>
    </xf>
    <xf numFmtId="0" fontId="4" fillId="0" borderId="4" xfId="0" applyFont="1" applyBorder="1" applyAlignment="1">
      <alignment horizontal="center" vertical="center" wrapText="1"/>
    </xf>
    <xf numFmtId="0" fontId="4" fillId="0" borderId="4" xfId="0" applyFont="1" applyBorder="1" applyAlignment="1">
      <alignment horizontal="center" vertical="center"/>
    </xf>
    <xf numFmtId="0" fontId="4" fillId="0" borderId="7" xfId="0" applyFont="1" applyBorder="1" applyAlignment="1">
      <alignment horizontal="center" vertical="center" wrapText="1"/>
    </xf>
    <xf numFmtId="0" fontId="1" fillId="5" borderId="7" xfId="0" applyFont="1" applyFill="1" applyBorder="1" applyAlignment="1">
      <alignment horizontal="center" vertical="center" wrapText="1"/>
    </xf>
    <xf numFmtId="0" fontId="3" fillId="0" borderId="7" xfId="0" applyFont="1" applyBorder="1" applyAlignment="1">
      <alignment horizontal="center" vertical="center" wrapText="1"/>
    </xf>
    <xf numFmtId="9" fontId="4" fillId="0" borderId="7" xfId="0" applyNumberFormat="1" applyFont="1" applyBorder="1" applyAlignment="1">
      <alignment horizontal="right" vertical="center" wrapText="1"/>
    </xf>
    <xf numFmtId="0" fontId="1" fillId="6" borderId="7" xfId="0" applyFont="1" applyFill="1" applyBorder="1" applyAlignment="1">
      <alignment horizontal="center" vertical="center" wrapText="1"/>
    </xf>
    <xf numFmtId="9" fontId="3" fillId="0" borderId="7" xfId="0" applyNumberFormat="1" applyFont="1" applyBorder="1" applyAlignment="1">
      <alignment horizontal="center" vertical="center" wrapText="1"/>
    </xf>
    <xf numFmtId="3" fontId="3" fillId="0" borderId="7" xfId="0" applyNumberFormat="1" applyFont="1" applyBorder="1" applyAlignment="1">
      <alignment horizontal="center" vertical="center" wrapText="1"/>
    </xf>
    <xf numFmtId="3" fontId="9" fillId="0" borderId="7" xfId="0" applyNumberFormat="1" applyFont="1" applyBorder="1" applyAlignment="1">
      <alignment horizontal="center" vertical="center" wrapText="1"/>
    </xf>
    <xf numFmtId="9" fontId="6" fillId="0" borderId="7" xfId="0" applyNumberFormat="1" applyFont="1" applyBorder="1" applyAlignment="1">
      <alignment horizontal="center" vertical="center"/>
    </xf>
    <xf numFmtId="0" fontId="10" fillId="0" borderId="7" xfId="0" applyFont="1" applyBorder="1" applyAlignment="1">
      <alignment vertical="center" wrapText="1"/>
    </xf>
    <xf numFmtId="6" fontId="3" fillId="0" borderId="7" xfId="0" applyNumberFormat="1" applyFont="1" applyBorder="1" applyAlignment="1">
      <alignment horizontal="center" vertical="center" wrapText="1"/>
    </xf>
    <xf numFmtId="0" fontId="3" fillId="0" borderId="4" xfId="0" applyFont="1" applyBorder="1" applyAlignment="1">
      <alignment vertical="center" wrapText="1"/>
    </xf>
    <xf numFmtId="0" fontId="4" fillId="7" borderId="7" xfId="0" applyFont="1" applyFill="1" applyBorder="1" applyAlignment="1">
      <alignment vertical="center" wrapText="1"/>
    </xf>
    <xf numFmtId="0" fontId="3" fillId="0" borderId="8" xfId="0" applyFont="1" applyBorder="1" applyAlignment="1">
      <alignment vertical="center" wrapText="1"/>
    </xf>
    <xf numFmtId="0" fontId="0" fillId="0" borderId="0" xfId="0" applyAlignment="1">
      <alignment horizontal="center" vertical="center"/>
    </xf>
    <xf numFmtId="0" fontId="0" fillId="0" borderId="14" xfId="0" applyBorder="1"/>
    <xf numFmtId="0" fontId="0" fillId="0" borderId="14" xfId="0" applyBorder="1" applyAlignment="1">
      <alignment horizontal="justify" vertical="center" wrapText="1"/>
    </xf>
    <xf numFmtId="0" fontId="6" fillId="0" borderId="14" xfId="0" applyFont="1" applyBorder="1" applyAlignment="1">
      <alignment horizontal="center" vertical="center" wrapText="1"/>
    </xf>
    <xf numFmtId="1" fontId="0" fillId="0" borderId="14" xfId="0" applyNumberFormat="1" applyBorder="1" applyAlignment="1">
      <alignment horizontal="center" vertical="center"/>
    </xf>
    <xf numFmtId="0" fontId="0" fillId="0" borderId="14" xfId="0" applyBorder="1" applyAlignment="1">
      <alignment horizontal="center" vertical="center"/>
    </xf>
    <xf numFmtId="0" fontId="0" fillId="0" borderId="14" xfId="0" applyBorder="1" applyAlignment="1">
      <alignment horizontal="center" vertical="center" wrapText="1"/>
    </xf>
    <xf numFmtId="10" fontId="0" fillId="0" borderId="14" xfId="1" applyNumberFormat="1" applyFont="1" applyBorder="1" applyAlignment="1">
      <alignment horizontal="center" vertical="center"/>
    </xf>
    <xf numFmtId="0" fontId="0" fillId="9" borderId="14" xfId="0" applyFill="1" applyBorder="1" applyAlignment="1">
      <alignment horizontal="center" vertical="center"/>
    </xf>
    <xf numFmtId="0" fontId="0" fillId="11" borderId="14" xfId="0" applyFill="1" applyBorder="1" applyAlignment="1">
      <alignment horizontal="center" vertical="center"/>
    </xf>
    <xf numFmtId="0" fontId="0" fillId="12" borderId="14" xfId="0" applyFill="1" applyBorder="1" applyAlignment="1">
      <alignment horizontal="center" vertical="center"/>
    </xf>
    <xf numFmtId="0" fontId="0" fillId="13" borderId="14" xfId="0" applyFill="1" applyBorder="1" applyAlignment="1">
      <alignment horizontal="center" vertical="center"/>
    </xf>
    <xf numFmtId="0" fontId="0" fillId="0" borderId="0" xfId="0" applyAlignment="1">
      <alignment horizontal="center"/>
    </xf>
    <xf numFmtId="0" fontId="4" fillId="0" borderId="14" xfId="0" applyFont="1" applyBorder="1" applyAlignment="1">
      <alignment horizontal="justify" vertical="center" wrapText="1"/>
    </xf>
    <xf numFmtId="164" fontId="0" fillId="0" borderId="14" xfId="2" applyFont="1" applyBorder="1" applyAlignment="1">
      <alignment horizontal="center" vertical="center"/>
    </xf>
    <xf numFmtId="165" fontId="0" fillId="0" borderId="14" xfId="2" applyNumberFormat="1" applyFont="1" applyBorder="1" applyAlignment="1">
      <alignment horizontal="center" vertical="center"/>
    </xf>
    <xf numFmtId="10" fontId="11" fillId="0" borderId="14" xfId="1" applyNumberFormat="1" applyFont="1" applyBorder="1" applyAlignment="1">
      <alignment horizontal="center" vertical="center"/>
    </xf>
    <xf numFmtId="3" fontId="0" fillId="0" borderId="14" xfId="2" applyNumberFormat="1" applyFont="1" applyBorder="1" applyAlignment="1">
      <alignment horizontal="center" vertical="center"/>
    </xf>
    <xf numFmtId="3" fontId="0" fillId="0" borderId="14" xfId="0" applyNumberFormat="1" applyBorder="1" applyAlignment="1">
      <alignment horizontal="center" vertical="center"/>
    </xf>
    <xf numFmtId="0" fontId="12" fillId="14" borderId="14" xfId="0" applyFont="1" applyFill="1" applyBorder="1" applyAlignment="1">
      <alignment horizontal="center" vertical="center"/>
    </xf>
    <xf numFmtId="3" fontId="0" fillId="0" borderId="14" xfId="0" applyNumberFormat="1" applyBorder="1"/>
    <xf numFmtId="3" fontId="12" fillId="14" borderId="14" xfId="0" applyNumberFormat="1" applyFont="1" applyFill="1" applyBorder="1" applyAlignment="1">
      <alignment horizontal="center" vertical="center"/>
    </xf>
    <xf numFmtId="10" fontId="12" fillId="14" borderId="14" xfId="1" applyNumberFormat="1" applyFont="1" applyFill="1" applyBorder="1" applyAlignment="1">
      <alignment horizontal="center"/>
    </xf>
    <xf numFmtId="0" fontId="6" fillId="0" borderId="0" xfId="0" applyFont="1" applyAlignment="1">
      <alignment horizontal="center" vertical="center"/>
    </xf>
    <xf numFmtId="0" fontId="13" fillId="10" borderId="14" xfId="0" applyFont="1" applyFill="1" applyBorder="1" applyAlignment="1">
      <alignment horizontal="center" vertical="center" wrapText="1"/>
    </xf>
    <xf numFmtId="1" fontId="0" fillId="0" borderId="0" xfId="0" applyNumberFormat="1" applyAlignment="1">
      <alignment horizontal="center" vertical="center"/>
    </xf>
    <xf numFmtId="3" fontId="14" fillId="8" borderId="14" xfId="0" applyNumberFormat="1" applyFont="1" applyFill="1" applyBorder="1" applyAlignment="1">
      <alignment horizontal="right" vertical="center" wrapText="1"/>
    </xf>
    <xf numFmtId="10" fontId="0" fillId="0" borderId="0" xfId="1" applyNumberFormat="1" applyFont="1" applyAlignment="1">
      <alignment horizontal="center" vertical="center"/>
    </xf>
    <xf numFmtId="10" fontId="0" fillId="0" borderId="0" xfId="1" applyNumberFormat="1" applyFont="1"/>
    <xf numFmtId="0" fontId="6" fillId="0" borderId="14" xfId="0" applyFont="1" applyBorder="1"/>
    <xf numFmtId="0" fontId="0" fillId="0" borderId="14" xfId="0" applyBorder="1" applyAlignment="1">
      <alignment horizontal="justify" wrapText="1"/>
    </xf>
    <xf numFmtId="0" fontId="0" fillId="0" borderId="14" xfId="0" applyBorder="1" applyAlignment="1">
      <alignment horizontal="justify"/>
    </xf>
    <xf numFmtId="3" fontId="0" fillId="0" borderId="14" xfId="0" applyNumberFormat="1" applyBorder="1" applyAlignment="1">
      <alignment horizontal="center" vertical="center" wrapText="1"/>
    </xf>
    <xf numFmtId="9" fontId="0" fillId="0" borderId="0" xfId="1" applyFont="1"/>
    <xf numFmtId="0" fontId="12" fillId="15" borderId="14" xfId="0" applyFont="1" applyFill="1" applyBorder="1" applyAlignment="1">
      <alignment horizontal="center" vertical="center"/>
    </xf>
    <xf numFmtId="0" fontId="15" fillId="15" borderId="14" xfId="0" applyFont="1" applyFill="1" applyBorder="1" applyAlignment="1">
      <alignment horizontal="center" vertical="center"/>
    </xf>
    <xf numFmtId="0" fontId="15" fillId="15" borderId="14" xfId="0" applyFont="1" applyFill="1" applyBorder="1" applyAlignment="1">
      <alignment horizontal="justify"/>
    </xf>
    <xf numFmtId="3" fontId="16" fillId="0" borderId="14" xfId="0" applyNumberFormat="1" applyFont="1" applyBorder="1"/>
    <xf numFmtId="3" fontId="12" fillId="15" borderId="14" xfId="0" applyNumberFormat="1" applyFont="1" applyFill="1" applyBorder="1" applyAlignment="1">
      <alignment horizontal="center" vertical="center"/>
    </xf>
    <xf numFmtId="0" fontId="0" fillId="16" borderId="14" xfId="0" applyFill="1" applyBorder="1" applyAlignment="1">
      <alignment horizontal="center" vertical="center"/>
    </xf>
    <xf numFmtId="0" fontId="0" fillId="16" borderId="14" xfId="0" applyFill="1" applyBorder="1" applyAlignment="1">
      <alignment horizontal="justify" vertical="center" wrapText="1"/>
    </xf>
    <xf numFmtId="0" fontId="0" fillId="16" borderId="14" xfId="0" applyFill="1" applyBorder="1" applyAlignment="1">
      <alignment horizontal="center" vertical="center" wrapText="1"/>
    </xf>
    <xf numFmtId="3" fontId="0" fillId="0" borderId="0" xfId="0" applyNumberFormat="1"/>
    <xf numFmtId="0" fontId="0" fillId="0" borderId="15" xfId="0" applyBorder="1" applyAlignment="1">
      <alignment horizontal="center" vertical="center"/>
    </xf>
    <xf numFmtId="0" fontId="0" fillId="0" borderId="15" xfId="0" applyBorder="1" applyAlignment="1">
      <alignment horizontal="center" vertical="center" wrapText="1"/>
    </xf>
    <xf numFmtId="0" fontId="17" fillId="0" borderId="15" xfId="0" applyFont="1" applyBorder="1" applyAlignment="1">
      <alignment horizontal="center" vertical="center" wrapText="1"/>
    </xf>
    <xf numFmtId="0" fontId="17" fillId="0" borderId="14" xfId="0" applyFont="1" applyBorder="1" applyAlignment="1">
      <alignment horizontal="center" vertical="center" wrapText="1"/>
    </xf>
    <xf numFmtId="3" fontId="0" fillId="0" borderId="26" xfId="0" applyNumberFormat="1" applyBorder="1" applyAlignment="1">
      <alignment vertical="center" wrapText="1"/>
    </xf>
    <xf numFmtId="0" fontId="0" fillId="0" borderId="27" xfId="0" applyBorder="1" applyAlignment="1">
      <alignment horizontal="justify" vertical="center" wrapText="1"/>
    </xf>
    <xf numFmtId="3" fontId="0" fillId="0" borderId="16" xfId="0" applyNumberFormat="1" applyBorder="1" applyAlignment="1">
      <alignment vertical="center" wrapText="1"/>
    </xf>
    <xf numFmtId="0" fontId="0" fillId="0" borderId="16" xfId="0" applyBorder="1" applyAlignment="1">
      <alignment vertical="center" wrapText="1"/>
    </xf>
    <xf numFmtId="3" fontId="0" fillId="0" borderId="15" xfId="0" applyNumberFormat="1" applyBorder="1" applyAlignment="1">
      <alignment vertical="center" wrapText="1"/>
    </xf>
    <xf numFmtId="0" fontId="0" fillId="0" borderId="15" xfId="0" applyBorder="1" applyAlignment="1">
      <alignment vertical="center" wrapText="1"/>
    </xf>
    <xf numFmtId="3" fontId="0" fillId="0" borderId="14" xfId="0" applyNumberFormat="1" applyBorder="1" applyAlignment="1">
      <alignment vertical="center" wrapText="1"/>
    </xf>
    <xf numFmtId="0" fontId="0" fillId="0" borderId="14" xfId="0" applyBorder="1" applyAlignment="1">
      <alignment vertical="center" wrapText="1"/>
    </xf>
    <xf numFmtId="0" fontId="0" fillId="0" borderId="14" xfId="0" applyBorder="1" applyAlignment="1">
      <alignment horizontal="center" vertical="top" wrapText="1"/>
    </xf>
    <xf numFmtId="9" fontId="0" fillId="0" borderId="15" xfId="0" applyNumberFormat="1" applyBorder="1" applyAlignment="1">
      <alignment horizontal="center" vertical="center" wrapText="1"/>
    </xf>
    <xf numFmtId="1" fontId="0" fillId="0" borderId="15" xfId="0" applyNumberFormat="1" applyBorder="1" applyAlignment="1">
      <alignment horizontal="center" vertical="center" wrapText="1"/>
    </xf>
    <xf numFmtId="0" fontId="0" fillId="0" borderId="26" xfId="0" applyBorder="1" applyAlignment="1">
      <alignment horizontal="right" vertical="center"/>
    </xf>
    <xf numFmtId="0" fontId="0" fillId="0" borderId="16" xfId="0" applyBorder="1" applyAlignment="1">
      <alignment horizontal="right" vertical="center"/>
    </xf>
    <xf numFmtId="0" fontId="0" fillId="0" borderId="15" xfId="0" applyBorder="1" applyAlignment="1">
      <alignment horizontal="right" vertical="center"/>
    </xf>
    <xf numFmtId="3" fontId="0" fillId="0" borderId="15" xfId="0" applyNumberFormat="1" applyBorder="1" applyAlignment="1">
      <alignment horizontal="right" vertical="center"/>
    </xf>
    <xf numFmtId="0" fontId="0" fillId="0" borderId="14" xfId="0" applyBorder="1" applyAlignment="1">
      <alignment horizontal="right" vertical="center"/>
    </xf>
    <xf numFmtId="3" fontId="0" fillId="0" borderId="14" xfId="0" applyNumberFormat="1" applyBorder="1" applyAlignment="1">
      <alignment horizontal="right" vertical="center"/>
    </xf>
    <xf numFmtId="166" fontId="0" fillId="0" borderId="15" xfId="3" applyNumberFormat="1" applyFont="1" applyBorder="1" applyAlignment="1">
      <alignment horizontal="center" vertical="center" wrapText="1"/>
    </xf>
    <xf numFmtId="166" fontId="0" fillId="0" borderId="15" xfId="0" applyNumberFormat="1" applyBorder="1" applyAlignment="1">
      <alignment horizontal="center" vertical="center" wrapText="1"/>
    </xf>
    <xf numFmtId="166" fontId="0" fillId="0" borderId="14" xfId="3" applyNumberFormat="1" applyFont="1" applyBorder="1" applyAlignment="1">
      <alignment horizontal="center" vertical="center" wrapText="1"/>
    </xf>
    <xf numFmtId="166" fontId="0" fillId="0" borderId="14" xfId="0" applyNumberFormat="1" applyBorder="1" applyAlignment="1">
      <alignment horizontal="center" vertical="center" wrapText="1"/>
    </xf>
    <xf numFmtId="167" fontId="0" fillId="0" borderId="14" xfId="3" applyNumberFormat="1" applyFont="1" applyBorder="1" applyAlignment="1">
      <alignment horizontal="center" vertical="center" wrapText="1"/>
    </xf>
    <xf numFmtId="167" fontId="0" fillId="0" borderId="15" xfId="3" applyNumberFormat="1" applyFont="1" applyBorder="1" applyAlignment="1">
      <alignment horizontal="center" vertical="center" wrapText="1"/>
    </xf>
    <xf numFmtId="168" fontId="11" fillId="0" borderId="14" xfId="2" applyNumberFormat="1" applyFont="1" applyBorder="1" applyAlignment="1">
      <alignment horizontal="center" vertical="center"/>
    </xf>
    <xf numFmtId="168" fontId="0" fillId="0" borderId="14" xfId="2" applyNumberFormat="1" applyFont="1" applyBorder="1" applyAlignment="1">
      <alignment horizontal="center" vertical="center"/>
    </xf>
    <xf numFmtId="0" fontId="0" fillId="0" borderId="15" xfId="0" applyBorder="1" applyAlignment="1">
      <alignment horizontal="center" vertical="center"/>
    </xf>
    <xf numFmtId="0" fontId="0" fillId="0" borderId="15" xfId="0" applyBorder="1" applyAlignment="1">
      <alignment horizontal="center" vertical="center" wrapText="1"/>
    </xf>
    <xf numFmtId="0" fontId="0" fillId="0" borderId="15" xfId="0" applyBorder="1" applyAlignment="1">
      <alignment horizontal="left" vertical="top" wrapText="1"/>
    </xf>
    <xf numFmtId="0" fontId="0" fillId="0" borderId="15" xfId="0" applyBorder="1" applyAlignment="1">
      <alignment vertical="center" wrapText="1"/>
    </xf>
    <xf numFmtId="0" fontId="0" fillId="17" borderId="15" xfId="0" applyFill="1" applyBorder="1" applyAlignment="1">
      <alignment horizontal="center" vertical="center"/>
    </xf>
    <xf numFmtId="0" fontId="0" fillId="17" borderId="15" xfId="0" applyFill="1" applyBorder="1" applyAlignment="1">
      <alignment horizontal="center" vertical="center" wrapText="1"/>
    </xf>
    <xf numFmtId="0" fontId="0" fillId="17" borderId="15" xfId="0" applyFill="1" applyBorder="1" applyAlignment="1">
      <alignment vertical="center" wrapText="1"/>
    </xf>
    <xf numFmtId="0" fontId="0" fillId="0" borderId="14" xfId="0" applyBorder="1" applyAlignment="1">
      <alignment horizontal="center" vertical="center"/>
    </xf>
    <xf numFmtId="0" fontId="0" fillId="0" borderId="0" xfId="0" applyAlignment="1">
      <alignment horizontal="left" vertical="center"/>
    </xf>
    <xf numFmtId="0" fontId="0" fillId="0" borderId="29" xfId="0" applyBorder="1" applyAlignment="1">
      <alignment horizontal="center" vertical="center" wrapText="1"/>
    </xf>
    <xf numFmtId="0" fontId="0" fillId="0" borderId="30" xfId="0" applyBorder="1" applyAlignment="1">
      <alignment vertical="top" wrapText="1"/>
    </xf>
    <xf numFmtId="0" fontId="0" fillId="0" borderId="29" xfId="0" applyBorder="1" applyAlignment="1">
      <alignment horizontal="center" vertical="center"/>
    </xf>
    <xf numFmtId="0" fontId="0" fillId="0" borderId="30" xfId="0" applyBorder="1" applyAlignment="1">
      <alignment vertical="center" wrapText="1"/>
    </xf>
    <xf numFmtId="0" fontId="18" fillId="0" borderId="30" xfId="0" applyFont="1" applyBorder="1" applyAlignment="1">
      <alignment horizontal="left" vertical="center" wrapText="1"/>
    </xf>
    <xf numFmtId="0" fontId="18" fillId="0" borderId="30" xfId="0" applyFont="1" applyBorder="1" applyAlignment="1">
      <alignment horizontal="justify" vertical="center"/>
    </xf>
    <xf numFmtId="0" fontId="18" fillId="0" borderId="30" xfId="0" applyFont="1" applyBorder="1" applyAlignment="1">
      <alignment horizontal="justify" vertical="center" wrapText="1"/>
    </xf>
    <xf numFmtId="0" fontId="0" fillId="0" borderId="30" xfId="0" applyBorder="1" applyAlignment="1">
      <alignment horizontal="left" vertical="center" wrapText="1"/>
    </xf>
    <xf numFmtId="0" fontId="0" fillId="0" borderId="30" xfId="0" applyBorder="1" applyAlignment="1">
      <alignment horizontal="justify" vertical="center"/>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32" xfId="0" applyBorder="1" applyAlignment="1">
      <alignment horizontal="center" vertical="center" wrapText="1"/>
    </xf>
    <xf numFmtId="0" fontId="18" fillId="0" borderId="33" xfId="0" applyFont="1" applyBorder="1" applyAlignment="1">
      <alignment horizontal="left" vertical="center" wrapText="1"/>
    </xf>
    <xf numFmtId="0" fontId="0" fillId="0" borderId="14" xfId="0" applyBorder="1" applyAlignment="1">
      <alignment horizontal="center" vertical="center"/>
    </xf>
    <xf numFmtId="0" fontId="0" fillId="0" borderId="14" xfId="0" applyBorder="1" applyAlignment="1">
      <alignment horizontal="center" vertical="center"/>
    </xf>
    <xf numFmtId="0" fontId="0" fillId="0" borderId="14" xfId="0" applyBorder="1" applyAlignment="1">
      <alignment horizontal="center" vertical="center"/>
    </xf>
    <xf numFmtId="0" fontId="0" fillId="0" borderId="14" xfId="0" applyBorder="1" applyAlignment="1">
      <alignment horizontal="center" vertical="center" wrapText="1"/>
    </xf>
    <xf numFmtId="0" fontId="22" fillId="15" borderId="14" xfId="0" applyFont="1" applyFill="1" applyBorder="1" applyAlignment="1">
      <alignment horizontal="center" vertical="center"/>
    </xf>
    <xf numFmtId="3" fontId="22" fillId="15" borderId="14" xfId="0" applyNumberFormat="1" applyFont="1" applyFill="1" applyBorder="1"/>
    <xf numFmtId="10" fontId="20" fillId="0" borderId="14" xfId="1" applyNumberFormat="1" applyFont="1" applyBorder="1" applyAlignment="1">
      <alignment horizontal="center" vertical="center"/>
    </xf>
    <xf numFmtId="44" fontId="0" fillId="0" borderId="14" xfId="3" applyFont="1" applyBorder="1" applyAlignment="1">
      <alignment horizontal="center" vertical="center" wrapText="1"/>
    </xf>
    <xf numFmtId="169" fontId="0" fillId="0" borderId="14" xfId="0" applyNumberFormat="1" applyBorder="1" applyAlignment="1">
      <alignment horizontal="right" vertical="center" wrapText="1"/>
    </xf>
    <xf numFmtId="169" fontId="0" fillId="0" borderId="14" xfId="3" applyNumberFormat="1" applyFont="1" applyBorder="1" applyAlignment="1">
      <alignment horizontal="right" vertical="center" wrapText="1"/>
    </xf>
    <xf numFmtId="169" fontId="0" fillId="0" borderId="15" xfId="0" applyNumberFormat="1" applyBorder="1" applyAlignment="1">
      <alignment vertical="center" wrapText="1"/>
    </xf>
    <xf numFmtId="169" fontId="0" fillId="0" borderId="15" xfId="3" applyNumberFormat="1" applyFont="1" applyBorder="1" applyAlignment="1">
      <alignment vertical="center" wrapText="1"/>
    </xf>
    <xf numFmtId="0" fontId="0" fillId="9" borderId="14" xfId="0" applyFill="1" applyBorder="1" applyAlignment="1">
      <alignment horizontal="center" vertical="center"/>
    </xf>
    <xf numFmtId="0" fontId="0" fillId="0" borderId="15" xfId="0" applyBorder="1" applyAlignment="1">
      <alignment horizontal="center" vertical="center"/>
    </xf>
    <xf numFmtId="0" fontId="0" fillId="0" borderId="15" xfId="0" applyBorder="1" applyAlignment="1">
      <alignment horizontal="center" vertical="center" wrapText="1"/>
    </xf>
    <xf numFmtId="0" fontId="0" fillId="0" borderId="15" xfId="0" applyBorder="1" applyAlignment="1">
      <alignment horizontal="left" vertical="top" wrapText="1"/>
    </xf>
    <xf numFmtId="0" fontId="0" fillId="0" borderId="15" xfId="0" applyBorder="1" applyAlignment="1">
      <alignment vertical="center" wrapText="1"/>
    </xf>
    <xf numFmtId="0" fontId="0" fillId="0" borderId="14" xfId="0" applyBorder="1" applyAlignment="1">
      <alignment horizontal="center" vertical="center"/>
    </xf>
    <xf numFmtId="0" fontId="0" fillId="0" borderId="14" xfId="0" applyBorder="1" applyAlignment="1">
      <alignment horizontal="center" vertical="center" wrapText="1"/>
    </xf>
    <xf numFmtId="0" fontId="0" fillId="0" borderId="15" xfId="0" applyBorder="1" applyAlignment="1">
      <alignment horizontal="left" vertical="center" wrapText="1"/>
    </xf>
    <xf numFmtId="0" fontId="0" fillId="0" borderId="15" xfId="0" applyFill="1" applyBorder="1" applyAlignment="1">
      <alignment horizontal="left" vertical="center" wrapText="1"/>
    </xf>
    <xf numFmtId="0" fontId="0" fillId="0" borderId="14" xfId="0" applyFill="1" applyBorder="1" applyAlignment="1">
      <alignment horizontal="left" vertical="center" wrapText="1"/>
    </xf>
    <xf numFmtId="0" fontId="0" fillId="0" borderId="14" xfId="0" applyBorder="1" applyAlignment="1">
      <alignment horizontal="left" vertical="center" wrapText="1"/>
    </xf>
    <xf numFmtId="0" fontId="0" fillId="8" borderId="15" xfId="0" applyFill="1" applyBorder="1" applyAlignment="1">
      <alignment horizontal="left" vertical="top" wrapText="1"/>
    </xf>
    <xf numFmtId="0" fontId="0" fillId="8" borderId="15" xfId="0" applyFill="1" applyBorder="1" applyAlignment="1">
      <alignment horizontal="center" vertical="center" wrapText="1"/>
    </xf>
    <xf numFmtId="0" fontId="0" fillId="0" borderId="15" xfId="0" applyFont="1" applyBorder="1" applyAlignment="1">
      <alignment horizontal="left" vertical="top" wrapText="1"/>
    </xf>
    <xf numFmtId="0" fontId="6" fillId="0" borderId="15" xfId="0" applyFont="1" applyBorder="1" applyAlignment="1">
      <alignment horizontal="left" vertical="top" wrapText="1"/>
    </xf>
    <xf numFmtId="0" fontId="0" fillId="0" borderId="15" xfId="0" applyBorder="1" applyAlignment="1">
      <alignment horizontal="left" vertical="top"/>
    </xf>
    <xf numFmtId="0" fontId="0" fillId="8" borderId="15" xfId="0" applyFill="1" applyBorder="1" applyAlignment="1">
      <alignment horizontal="left" vertical="center" wrapText="1"/>
    </xf>
    <xf numFmtId="0" fontId="0" fillId="0" borderId="0" xfId="0" applyAlignment="1">
      <alignment horizontal="center"/>
    </xf>
    <xf numFmtId="0" fontId="0" fillId="8" borderId="14" xfId="0" applyFill="1" applyBorder="1" applyAlignment="1">
      <alignment horizontal="center" vertical="center"/>
    </xf>
    <xf numFmtId="0" fontId="0" fillId="0" borderId="14" xfId="0" applyFill="1" applyBorder="1" applyAlignment="1">
      <alignment horizontal="center" vertical="center"/>
    </xf>
    <xf numFmtId="3" fontId="0" fillId="0" borderId="14" xfId="0" applyNumberFormat="1" applyFill="1" applyBorder="1" applyAlignment="1">
      <alignment horizontal="center" vertical="center"/>
    </xf>
    <xf numFmtId="167" fontId="0" fillId="0" borderId="14" xfId="3" applyNumberFormat="1" applyFont="1" applyBorder="1" applyAlignment="1">
      <alignment horizontal="center" vertical="center"/>
    </xf>
    <xf numFmtId="0" fontId="0" fillId="0" borderId="15" xfId="0" applyBorder="1" applyAlignment="1">
      <alignment vertical="top" wrapText="1"/>
    </xf>
    <xf numFmtId="0" fontId="0" fillId="17" borderId="15" xfId="0" applyFill="1" applyBorder="1" applyAlignment="1">
      <alignment vertical="top" wrapText="1"/>
    </xf>
    <xf numFmtId="0" fontId="0" fillId="0" borderId="14" xfId="0" applyBorder="1" applyAlignment="1">
      <alignment vertical="top" wrapText="1"/>
    </xf>
    <xf numFmtId="0" fontId="0" fillId="18" borderId="15" xfId="0" applyFill="1" applyBorder="1" applyAlignment="1">
      <alignment vertical="center" wrapText="1"/>
    </xf>
    <xf numFmtId="0" fontId="0" fillId="0" borderId="15" xfId="0" applyFill="1" applyBorder="1" applyAlignment="1">
      <alignment vertical="center" wrapText="1"/>
    </xf>
    <xf numFmtId="0" fontId="24" fillId="0" borderId="30" xfId="0" applyFont="1" applyBorder="1" applyAlignment="1">
      <alignment horizontal="justify" vertical="center"/>
    </xf>
    <xf numFmtId="0" fontId="0" fillId="0" borderId="15" xfId="0" applyFont="1" applyBorder="1" applyAlignment="1">
      <alignment vertical="top" wrapText="1"/>
    </xf>
    <xf numFmtId="0" fontId="6" fillId="0" borderId="15" xfId="0" applyFont="1" applyBorder="1" applyAlignment="1">
      <alignment vertical="top" wrapText="1"/>
    </xf>
    <xf numFmtId="0" fontId="0" fillId="0" borderId="14" xfId="0" applyBorder="1" applyAlignment="1">
      <alignment horizontal="left" vertical="top" wrapText="1"/>
    </xf>
    <xf numFmtId="170" fontId="0" fillId="0" borderId="14" xfId="0" applyNumberFormat="1" applyBorder="1" applyAlignment="1">
      <alignment horizontal="center" vertical="center"/>
    </xf>
    <xf numFmtId="0" fontId="0" fillId="0" borderId="0" xfId="0" applyFont="1"/>
    <xf numFmtId="167" fontId="0" fillId="0" borderId="0" xfId="0" applyNumberFormat="1"/>
    <xf numFmtId="0" fontId="17" fillId="0" borderId="0" xfId="0" applyFont="1"/>
    <xf numFmtId="0" fontId="0" fillId="0" borderId="14" xfId="0" applyBorder="1" applyAlignment="1">
      <alignment horizontal="center" vertical="center"/>
    </xf>
    <xf numFmtId="9" fontId="0" fillId="0" borderId="14" xfId="1" applyFont="1" applyBorder="1" applyAlignment="1">
      <alignment horizontal="center"/>
    </xf>
    <xf numFmtId="9" fontId="12" fillId="15" borderId="14" xfId="1" applyFont="1" applyFill="1" applyBorder="1" applyAlignment="1">
      <alignment horizontal="center" vertical="center"/>
    </xf>
    <xf numFmtId="0" fontId="27" fillId="15" borderId="14" xfId="0" applyFont="1" applyFill="1" applyBorder="1" applyAlignment="1">
      <alignment horizontal="center" vertical="center" wrapText="1"/>
    </xf>
    <xf numFmtId="10" fontId="26" fillId="0" borderId="14" xfId="1" applyNumberFormat="1" applyFont="1" applyBorder="1" applyAlignment="1">
      <alignment horizontal="center" vertical="center"/>
    </xf>
    <xf numFmtId="9" fontId="12" fillId="15" borderId="14" xfId="0" applyNumberFormat="1" applyFont="1" applyFill="1" applyBorder="1" applyAlignment="1">
      <alignment horizontal="center" vertical="center"/>
    </xf>
    <xf numFmtId="10" fontId="0" fillId="0" borderId="14" xfId="1" applyNumberFormat="1" applyFont="1" applyBorder="1" applyAlignment="1">
      <alignment horizontal="center"/>
    </xf>
    <xf numFmtId="10" fontId="0" fillId="0" borderId="0" xfId="0" applyNumberFormat="1"/>
    <xf numFmtId="9" fontId="4" fillId="0" borderId="14" xfId="1" applyFont="1" applyBorder="1" applyAlignment="1">
      <alignment horizontal="justify" vertical="center" wrapText="1"/>
    </xf>
    <xf numFmtId="9" fontId="4" fillId="0" borderId="14" xfId="1" applyFont="1" applyBorder="1" applyAlignment="1">
      <alignment horizontal="center" vertical="center" wrapText="1"/>
    </xf>
    <xf numFmtId="0" fontId="0" fillId="11" borderId="14" xfId="0" applyFill="1" applyBorder="1" applyAlignment="1">
      <alignment horizontal="center" vertical="center"/>
    </xf>
    <xf numFmtId="0" fontId="0" fillId="12" borderId="14" xfId="0" applyFill="1" applyBorder="1" applyAlignment="1">
      <alignment horizontal="center" vertical="center"/>
    </xf>
    <xf numFmtId="0" fontId="0" fillId="9" borderId="14" xfId="0" applyFill="1" applyBorder="1" applyAlignment="1">
      <alignment horizontal="center" vertical="center"/>
    </xf>
    <xf numFmtId="0" fontId="0" fillId="0" borderId="15" xfId="0" applyBorder="1" applyAlignment="1">
      <alignment horizontal="center" vertical="center" wrapText="1"/>
    </xf>
    <xf numFmtId="43" fontId="0" fillId="0" borderId="15" xfId="17" applyFont="1" applyBorder="1" applyAlignment="1">
      <alignment horizontal="center" vertical="center" wrapText="1"/>
    </xf>
    <xf numFmtId="10" fontId="0" fillId="0" borderId="0" xfId="1" applyNumberFormat="1" applyFont="1" applyAlignment="1">
      <alignment horizontal="center"/>
    </xf>
    <xf numFmtId="174" fontId="0" fillId="0" borderId="14" xfId="0" applyNumberFormat="1" applyBorder="1" applyAlignment="1">
      <alignment horizontal="center" vertical="center"/>
    </xf>
    <xf numFmtId="0" fontId="0" fillId="0" borderId="0" xfId="0" applyAlignment="1">
      <alignment horizontal="center"/>
    </xf>
    <xf numFmtId="9" fontId="0" fillId="0" borderId="14" xfId="1" applyFont="1" applyBorder="1" applyAlignment="1">
      <alignment horizontal="center" vertical="center"/>
    </xf>
    <xf numFmtId="0" fontId="33" fillId="20" borderId="5" xfId="0" applyFont="1" applyFill="1" applyBorder="1" applyAlignment="1">
      <alignment horizontal="center" vertical="center"/>
    </xf>
    <xf numFmtId="0" fontId="0" fillId="0" borderId="15" xfId="0" applyBorder="1" applyAlignment="1">
      <alignment horizontal="center" vertical="center" wrapText="1"/>
    </xf>
    <xf numFmtId="0" fontId="0" fillId="0" borderId="14" xfId="0" applyBorder="1" applyAlignment="1">
      <alignment horizontal="center" vertical="center"/>
    </xf>
    <xf numFmtId="4" fontId="0" fillId="0" borderId="14" xfId="0" applyNumberFormat="1" applyBorder="1" applyAlignment="1">
      <alignment horizontal="center" vertical="center"/>
    </xf>
    <xf numFmtId="175" fontId="0" fillId="12" borderId="14" xfId="3" applyNumberFormat="1" applyFont="1" applyFill="1" applyBorder="1" applyAlignment="1">
      <alignment horizontal="center" vertical="center"/>
    </xf>
    <xf numFmtId="175" fontId="14" fillId="8" borderId="14" xfId="3" applyNumberFormat="1" applyFont="1" applyFill="1" applyBorder="1" applyAlignment="1">
      <alignment horizontal="right" vertical="center" wrapText="1"/>
    </xf>
    <xf numFmtId="175" fontId="0" fillId="0" borderId="14" xfId="3" applyNumberFormat="1" applyFont="1" applyBorder="1" applyAlignment="1">
      <alignment horizontal="center" vertical="center"/>
    </xf>
    <xf numFmtId="175" fontId="0" fillId="0" borderId="0" xfId="3" applyNumberFormat="1" applyFont="1"/>
    <xf numFmtId="175" fontId="0" fillId="0" borderId="14" xfId="3" applyNumberFormat="1" applyFont="1" applyBorder="1"/>
    <xf numFmtId="0" fontId="17" fillId="16" borderId="14" xfId="0" applyFont="1" applyFill="1" applyBorder="1" applyAlignment="1">
      <alignment horizontal="center" vertical="center"/>
    </xf>
    <xf numFmtId="0" fontId="17" fillId="16" borderId="14" xfId="0" applyFont="1" applyFill="1" applyBorder="1" applyAlignment="1">
      <alignment horizontal="justify" vertical="center" wrapText="1"/>
    </xf>
    <xf numFmtId="0" fontId="17" fillId="16" borderId="14" xfId="0" applyFont="1" applyFill="1" applyBorder="1" applyAlignment="1">
      <alignment horizontal="center" vertical="center" wrapText="1"/>
    </xf>
    <xf numFmtId="167" fontId="17" fillId="0" borderId="15" xfId="3" applyNumberFormat="1" applyFont="1" applyBorder="1" applyAlignment="1">
      <alignment horizontal="center" vertical="center" wrapText="1"/>
    </xf>
    <xf numFmtId="43" fontId="17" fillId="0" borderId="15" xfId="17" applyFont="1" applyBorder="1" applyAlignment="1">
      <alignment horizontal="center" vertical="center" wrapText="1"/>
    </xf>
    <xf numFmtId="166" fontId="17" fillId="0" borderId="15" xfId="3" applyNumberFormat="1" applyFont="1" applyBorder="1" applyAlignment="1">
      <alignment horizontal="center" vertical="center" wrapText="1"/>
    </xf>
    <xf numFmtId="165" fontId="17" fillId="0" borderId="14" xfId="2" applyNumberFormat="1" applyFont="1" applyBorder="1" applyAlignment="1">
      <alignment horizontal="center" vertical="center"/>
    </xf>
    <xf numFmtId="10" fontId="17" fillId="0" borderId="14" xfId="1" applyNumberFormat="1" applyFont="1" applyBorder="1" applyAlignment="1">
      <alignment horizontal="center" vertical="center"/>
    </xf>
    <xf numFmtId="0" fontId="34" fillId="0" borderId="14" xfId="0" applyFont="1" applyBorder="1" applyAlignment="1">
      <alignment horizontal="center" vertical="center" wrapText="1"/>
    </xf>
    <xf numFmtId="3" fontId="35" fillId="8" borderId="14" xfId="0" applyNumberFormat="1" applyFont="1" applyFill="1" applyBorder="1" applyAlignment="1">
      <alignment horizontal="right" vertical="center" wrapText="1"/>
    </xf>
    <xf numFmtId="3" fontId="17" fillId="0" borderId="14" xfId="0" applyNumberFormat="1" applyFont="1" applyBorder="1" applyAlignment="1">
      <alignment horizontal="center" vertical="center"/>
    </xf>
    <xf numFmtId="10" fontId="17" fillId="0" borderId="0" xfId="1" applyNumberFormat="1" applyFont="1" applyAlignment="1">
      <alignment horizontal="center" vertical="center"/>
    </xf>
    <xf numFmtId="0" fontId="0" fillId="18" borderId="15" xfId="0" applyFill="1" applyBorder="1" applyAlignment="1">
      <alignment horizontal="center" vertical="center"/>
    </xf>
    <xf numFmtId="0" fontId="0" fillId="18" borderId="15" xfId="0" applyFill="1" applyBorder="1" applyAlignment="1">
      <alignment horizontal="center" vertical="center" wrapText="1"/>
    </xf>
    <xf numFmtId="0" fontId="0" fillId="18" borderId="14" xfId="0" applyFill="1" applyBorder="1" applyAlignment="1">
      <alignment horizontal="center" vertical="center"/>
    </xf>
    <xf numFmtId="10" fontId="0" fillId="18" borderId="14" xfId="1" applyNumberFormat="1" applyFont="1" applyFill="1" applyBorder="1" applyAlignment="1">
      <alignment horizontal="center" vertical="center"/>
    </xf>
    <xf numFmtId="0" fontId="6" fillId="18" borderId="14" xfId="0" applyFont="1" applyFill="1" applyBorder="1" applyAlignment="1">
      <alignment horizontal="center" vertical="center" wrapText="1"/>
    </xf>
    <xf numFmtId="1" fontId="0" fillId="18" borderId="14" xfId="0" applyNumberFormat="1" applyFill="1" applyBorder="1" applyAlignment="1">
      <alignment horizontal="center" vertical="center"/>
    </xf>
    <xf numFmtId="0" fontId="0" fillId="18" borderId="0" xfId="0" applyFill="1"/>
    <xf numFmtId="0" fontId="0" fillId="18" borderId="0" xfId="0" applyFill="1" applyAlignment="1">
      <alignment horizontal="center" vertical="center"/>
    </xf>
    <xf numFmtId="10" fontId="0" fillId="18" borderId="0" xfId="1" applyNumberFormat="1" applyFont="1" applyFill="1" applyAlignment="1">
      <alignment horizontal="center" vertical="center"/>
    </xf>
    <xf numFmtId="1" fontId="0" fillId="18" borderId="0" xfId="0" applyNumberFormat="1" applyFill="1" applyAlignment="1">
      <alignment horizontal="center" vertical="center"/>
    </xf>
    <xf numFmtId="2" fontId="0" fillId="0" borderId="14" xfId="0" applyNumberFormat="1" applyBorder="1" applyAlignment="1">
      <alignment horizontal="center" vertical="center"/>
    </xf>
    <xf numFmtId="175" fontId="36" fillId="0" borderId="14" xfId="3" applyNumberFormat="1" applyFont="1" applyBorder="1" applyAlignment="1">
      <alignment horizontal="center" vertical="center"/>
    </xf>
    <xf numFmtId="0" fontId="17" fillId="0" borderId="14" xfId="0" applyFont="1" applyBorder="1" applyAlignment="1">
      <alignment horizontal="center" vertical="center"/>
    </xf>
    <xf numFmtId="3" fontId="37" fillId="0" borderId="14" xfId="0" applyNumberFormat="1" applyFont="1" applyFill="1" applyBorder="1" applyAlignment="1">
      <alignment horizontal="center" vertical="center" wrapText="1"/>
    </xf>
    <xf numFmtId="0" fontId="0" fillId="12" borderId="14" xfId="0" applyFont="1" applyFill="1" applyBorder="1" applyAlignment="1">
      <alignment horizontal="center" vertical="center"/>
    </xf>
    <xf numFmtId="3" fontId="0" fillId="0" borderId="14" xfId="0" applyNumberFormat="1" applyFont="1" applyBorder="1" applyAlignment="1">
      <alignment horizontal="center" vertical="center"/>
    </xf>
    <xf numFmtId="0" fontId="0" fillId="0" borderId="14" xfId="0" applyFont="1" applyBorder="1" applyAlignment="1">
      <alignment horizontal="center" vertical="center" wrapText="1"/>
    </xf>
    <xf numFmtId="3" fontId="0" fillId="18" borderId="14" xfId="0" applyNumberFormat="1" applyFont="1" applyFill="1" applyBorder="1" applyAlignment="1">
      <alignment horizontal="center" vertical="center"/>
    </xf>
    <xf numFmtId="3" fontId="37" fillId="0" borderId="14" xfId="0" applyNumberFormat="1" applyFont="1" applyFill="1" applyBorder="1" applyAlignment="1">
      <alignment horizontal="right" vertical="center" wrapText="1"/>
    </xf>
    <xf numFmtId="0" fontId="0" fillId="12" borderId="14" xfId="0" applyFont="1" applyFill="1" applyBorder="1" applyAlignment="1">
      <alignment horizontal="center" vertical="center" wrapText="1"/>
    </xf>
    <xf numFmtId="0" fontId="18" fillId="0" borderId="30" xfId="0" applyFont="1" applyFill="1" applyBorder="1" applyAlignment="1">
      <alignment horizontal="justify" vertical="center" wrapText="1"/>
    </xf>
    <xf numFmtId="0" fontId="18" fillId="0" borderId="30" xfId="0" applyFont="1" applyFill="1" applyBorder="1" applyAlignment="1">
      <alignment horizontal="justify" vertical="center"/>
    </xf>
    <xf numFmtId="0" fontId="0" fillId="0" borderId="30" xfId="0" applyFill="1" applyBorder="1" applyAlignment="1">
      <alignment horizontal="left" vertical="center" wrapText="1"/>
    </xf>
    <xf numFmtId="0" fontId="29" fillId="0" borderId="34" xfId="0" applyFont="1" applyBorder="1" applyAlignment="1">
      <alignment horizontal="center" vertical="center"/>
    </xf>
    <xf numFmtId="0" fontId="0" fillId="0" borderId="5" xfId="0" applyFont="1" applyBorder="1" applyAlignment="1">
      <alignment horizontal="center" vertical="center" wrapText="1"/>
    </xf>
    <xf numFmtId="0" fontId="0" fillId="0" borderId="5" xfId="0" applyBorder="1" applyAlignment="1">
      <alignment horizontal="center" vertical="center"/>
    </xf>
    <xf numFmtId="9" fontId="0" fillId="0" borderId="5" xfId="0" applyNumberFormat="1" applyFont="1" applyBorder="1" applyAlignment="1">
      <alignment horizontal="center" vertical="center" wrapText="1"/>
    </xf>
    <xf numFmtId="0" fontId="12" fillId="14" borderId="15" xfId="0" applyFont="1" applyFill="1" applyBorder="1" applyAlignment="1">
      <alignment horizontal="center" vertical="center" wrapText="1"/>
    </xf>
    <xf numFmtId="0" fontId="12" fillId="14" borderId="16" xfId="0" applyFont="1" applyFill="1" applyBorder="1" applyAlignment="1">
      <alignment horizontal="center" vertical="center" wrapText="1"/>
    </xf>
    <xf numFmtId="0" fontId="0" fillId="11" borderId="14" xfId="0" applyFill="1" applyBorder="1" applyAlignment="1">
      <alignment horizontal="center" vertical="center" wrapText="1"/>
    </xf>
    <xf numFmtId="0" fontId="12" fillId="14" borderId="15" xfId="0" applyFont="1" applyFill="1" applyBorder="1" applyAlignment="1">
      <alignment horizontal="center" vertical="center"/>
    </xf>
    <xf numFmtId="0" fontId="12" fillId="14" borderId="16" xfId="0" applyFont="1" applyFill="1" applyBorder="1" applyAlignment="1">
      <alignment horizontal="center" vertical="center"/>
    </xf>
    <xf numFmtId="0" fontId="0" fillId="11" borderId="21" xfId="0" applyFill="1" applyBorder="1" applyAlignment="1">
      <alignment horizontal="center" vertical="center" wrapText="1"/>
    </xf>
    <xf numFmtId="0" fontId="0" fillId="11" borderId="22" xfId="0" applyFill="1" applyBorder="1" applyAlignment="1">
      <alignment horizontal="center" vertical="center" wrapText="1"/>
    </xf>
    <xf numFmtId="0" fontId="0" fillId="11" borderId="23" xfId="0" applyFill="1" applyBorder="1" applyAlignment="1">
      <alignment horizontal="center" vertical="center" wrapText="1"/>
    </xf>
    <xf numFmtId="0" fontId="0" fillId="11" borderId="18" xfId="0" applyFill="1" applyBorder="1" applyAlignment="1">
      <alignment horizontal="center" vertical="center" wrapText="1"/>
    </xf>
    <xf numFmtId="0" fontId="0" fillId="13" borderId="14" xfId="0" applyFill="1" applyBorder="1" applyAlignment="1">
      <alignment horizontal="center"/>
    </xf>
    <xf numFmtId="0" fontId="0" fillId="13" borderId="14" xfId="0" applyFill="1" applyBorder="1" applyAlignment="1">
      <alignment horizontal="center" vertical="center"/>
    </xf>
    <xf numFmtId="0" fontId="0" fillId="11" borderId="14" xfId="0" applyFill="1" applyBorder="1" applyAlignment="1">
      <alignment horizontal="center" vertical="center"/>
    </xf>
    <xf numFmtId="0" fontId="0" fillId="11" borderId="14" xfId="0" applyFill="1" applyBorder="1" applyAlignment="1">
      <alignment horizontal="center"/>
    </xf>
    <xf numFmtId="0" fontId="0" fillId="12" borderId="14" xfId="0" applyFill="1" applyBorder="1" applyAlignment="1">
      <alignment horizontal="center"/>
    </xf>
    <xf numFmtId="0" fontId="0" fillId="12" borderId="14" xfId="0" applyFill="1" applyBorder="1" applyAlignment="1">
      <alignment horizontal="center" vertical="center"/>
    </xf>
    <xf numFmtId="0" fontId="0" fillId="9" borderId="14" xfId="0" applyFill="1" applyBorder="1" applyAlignment="1">
      <alignment horizontal="center"/>
    </xf>
    <xf numFmtId="0" fontId="0" fillId="9" borderId="14" xfId="0" applyFill="1" applyBorder="1" applyAlignment="1">
      <alignment horizontal="center" vertical="center"/>
    </xf>
    <xf numFmtId="0" fontId="0" fillId="13" borderId="14" xfId="0" applyFill="1" applyBorder="1" applyAlignment="1">
      <alignment horizontal="center" vertical="center" wrapText="1"/>
    </xf>
    <xf numFmtId="0" fontId="0" fillId="13" borderId="21" xfId="0" applyFill="1" applyBorder="1" applyAlignment="1">
      <alignment horizontal="center" vertical="center" wrapText="1"/>
    </xf>
    <xf numFmtId="0" fontId="0" fillId="13" borderId="22" xfId="0" applyFill="1" applyBorder="1" applyAlignment="1">
      <alignment horizontal="center" vertical="center" wrapText="1"/>
    </xf>
    <xf numFmtId="0" fontId="0" fillId="13" borderId="23" xfId="0" applyFill="1" applyBorder="1" applyAlignment="1">
      <alignment horizontal="center" vertical="center" wrapText="1"/>
    </xf>
    <xf numFmtId="0" fontId="0" fillId="13" borderId="18" xfId="0" applyFill="1" applyBorder="1" applyAlignment="1">
      <alignment horizontal="center" vertical="center" wrapText="1"/>
    </xf>
    <xf numFmtId="0" fontId="0" fillId="9" borderId="14" xfId="0" applyFill="1" applyBorder="1" applyAlignment="1">
      <alignment horizontal="center" vertical="center" wrapText="1"/>
    </xf>
    <xf numFmtId="0" fontId="0" fillId="12" borderId="14" xfId="0" applyFill="1" applyBorder="1" applyAlignment="1">
      <alignment horizontal="center" vertical="center" wrapText="1"/>
    </xf>
    <xf numFmtId="0" fontId="0" fillId="12" borderId="21" xfId="0" applyFill="1" applyBorder="1" applyAlignment="1">
      <alignment horizontal="center" vertical="center" wrapText="1"/>
    </xf>
    <xf numFmtId="0" fontId="0" fillId="12" borderId="22" xfId="0" applyFill="1" applyBorder="1" applyAlignment="1">
      <alignment horizontal="center" vertical="center" wrapText="1"/>
    </xf>
    <xf numFmtId="0" fontId="0" fillId="12" borderId="23" xfId="0" applyFill="1" applyBorder="1" applyAlignment="1">
      <alignment horizontal="center" vertical="center" wrapText="1"/>
    </xf>
    <xf numFmtId="0" fontId="0" fillId="12" borderId="18" xfId="0" applyFill="1" applyBorder="1" applyAlignment="1">
      <alignment horizontal="center" vertical="center" wrapText="1"/>
    </xf>
    <xf numFmtId="0" fontId="0" fillId="9" borderId="21" xfId="0" applyFill="1" applyBorder="1" applyAlignment="1">
      <alignment horizontal="center" vertical="center" wrapText="1"/>
    </xf>
    <xf numFmtId="0" fontId="0" fillId="9" borderId="22" xfId="0" applyFill="1" applyBorder="1" applyAlignment="1">
      <alignment horizontal="center" vertical="center" wrapText="1"/>
    </xf>
    <xf numFmtId="0" fontId="0" fillId="9" borderId="23" xfId="0" applyFill="1" applyBorder="1" applyAlignment="1">
      <alignment horizontal="center" vertical="center" wrapText="1"/>
    </xf>
    <xf numFmtId="0" fontId="0" fillId="9" borderId="18" xfId="0" applyFill="1" applyBorder="1" applyAlignment="1">
      <alignment horizontal="center" vertical="center" wrapText="1"/>
    </xf>
    <xf numFmtId="0" fontId="0" fillId="0" borderId="15" xfId="0" applyBorder="1" applyAlignment="1">
      <alignment horizontal="center" vertical="center"/>
    </xf>
    <xf numFmtId="0" fontId="0" fillId="0" borderId="25" xfId="0" applyBorder="1" applyAlignment="1">
      <alignment horizontal="center" vertical="center"/>
    </xf>
    <xf numFmtId="0" fontId="0" fillId="0" borderId="16" xfId="0" applyBorder="1" applyAlignment="1">
      <alignment horizontal="center" vertical="center"/>
    </xf>
    <xf numFmtId="0" fontId="0" fillId="0" borderId="15" xfId="0" applyBorder="1" applyAlignment="1">
      <alignment horizontal="center" vertical="center" wrapText="1"/>
    </xf>
    <xf numFmtId="0" fontId="0" fillId="0" borderId="25" xfId="0" applyBorder="1" applyAlignment="1">
      <alignment horizontal="center" vertical="center" wrapText="1"/>
    </xf>
    <xf numFmtId="0" fontId="0" fillId="0" borderId="16" xfId="0" applyBorder="1" applyAlignment="1">
      <alignment horizontal="center" vertical="center" wrapText="1"/>
    </xf>
    <xf numFmtId="0" fontId="0" fillId="12" borderId="14" xfId="0" applyFont="1" applyFill="1" applyBorder="1" applyAlignment="1">
      <alignment horizontal="center" vertical="center"/>
    </xf>
    <xf numFmtId="0" fontId="0" fillId="0" borderId="14" xfId="0" applyBorder="1" applyAlignment="1">
      <alignment horizontal="center" vertical="center"/>
    </xf>
    <xf numFmtId="0" fontId="12" fillId="14" borderId="28" xfId="0" applyFont="1" applyFill="1" applyBorder="1" applyAlignment="1">
      <alignment horizontal="center" vertical="center" wrapText="1"/>
    </xf>
    <xf numFmtId="0" fontId="12" fillId="14" borderId="29" xfId="0" applyFont="1" applyFill="1" applyBorder="1" applyAlignment="1">
      <alignment horizontal="center" vertical="center" wrapText="1"/>
    </xf>
    <xf numFmtId="0" fontId="12" fillId="14" borderId="26" xfId="0" applyFont="1" applyFill="1" applyBorder="1" applyAlignment="1">
      <alignment horizontal="center" vertical="center"/>
    </xf>
    <xf numFmtId="0" fontId="12" fillId="14" borderId="14" xfId="0" applyFont="1" applyFill="1" applyBorder="1" applyAlignment="1">
      <alignment horizontal="center" vertical="center"/>
    </xf>
    <xf numFmtId="0" fontId="12" fillId="14" borderId="25" xfId="0" applyFont="1" applyFill="1" applyBorder="1" applyAlignment="1">
      <alignment horizontal="center" vertical="center" wrapText="1"/>
    </xf>
    <xf numFmtId="0" fontId="12" fillId="14" borderId="25" xfId="0" applyFont="1" applyFill="1" applyBorder="1" applyAlignment="1">
      <alignment horizontal="center" vertical="center"/>
    </xf>
    <xf numFmtId="0" fontId="12" fillId="15" borderId="19" xfId="0" applyFont="1" applyFill="1" applyBorder="1" applyAlignment="1">
      <alignment horizontal="center"/>
    </xf>
    <xf numFmtId="0" fontId="12" fillId="14" borderId="0" xfId="0" applyFont="1" applyFill="1" applyBorder="1" applyAlignment="1">
      <alignment horizontal="center"/>
    </xf>
    <xf numFmtId="0" fontId="12" fillId="14" borderId="19" xfId="0" applyFont="1" applyFill="1" applyBorder="1" applyAlignment="1">
      <alignment horizontal="center"/>
    </xf>
    <xf numFmtId="0" fontId="12" fillId="15" borderId="17" xfId="0" applyFont="1" applyFill="1" applyBorder="1" applyAlignment="1">
      <alignment horizontal="center" vertical="center"/>
    </xf>
    <xf numFmtId="0" fontId="12" fillId="15" borderId="24" xfId="0" applyFont="1" applyFill="1" applyBorder="1" applyAlignment="1">
      <alignment horizontal="center" vertical="center"/>
    </xf>
    <xf numFmtId="0" fontId="12" fillId="15" borderId="20" xfId="0" applyFont="1" applyFill="1" applyBorder="1" applyAlignment="1">
      <alignment horizontal="center" vertical="center"/>
    </xf>
    <xf numFmtId="0" fontId="12" fillId="15" borderId="0" xfId="0" applyFont="1" applyFill="1" applyAlignment="1">
      <alignment horizontal="center" vertical="center"/>
    </xf>
    <xf numFmtId="0" fontId="12" fillId="15" borderId="19" xfId="0" applyFont="1" applyFill="1" applyBorder="1" applyAlignment="1">
      <alignment horizontal="center" vertical="center"/>
    </xf>
    <xf numFmtId="0" fontId="0" fillId="0" borderId="0" xfId="0" applyAlignment="1">
      <alignment horizontal="center"/>
    </xf>
    <xf numFmtId="0" fontId="1" fillId="2" borderId="5" xfId="0" applyFont="1" applyFill="1" applyBorder="1" applyAlignment="1">
      <alignment horizontal="center" vertical="center" wrapText="1"/>
    </xf>
    <xf numFmtId="0" fontId="2" fillId="0" borderId="1" xfId="0" applyFont="1" applyBorder="1" applyAlignment="1">
      <alignment horizontal="center" vertical="center" textRotation="255"/>
    </xf>
    <xf numFmtId="0" fontId="2" fillId="0" borderId="9" xfId="0" applyFont="1" applyBorder="1" applyAlignment="1">
      <alignment horizontal="center" vertical="center" textRotation="255"/>
    </xf>
    <xf numFmtId="0" fontId="2" fillId="0" borderId="6" xfId="0" applyFont="1" applyBorder="1" applyAlignment="1">
      <alignment horizontal="center" vertical="center" textRotation="255"/>
    </xf>
    <xf numFmtId="0" fontId="3" fillId="0" borderId="1" xfId="0" applyFont="1" applyBorder="1" applyAlignment="1">
      <alignment horizontal="justify" vertical="center" wrapText="1"/>
    </xf>
    <xf numFmtId="0" fontId="3" fillId="0" borderId="9" xfId="0" applyFont="1" applyBorder="1" applyAlignment="1">
      <alignment horizontal="justify" vertical="center" wrapText="1"/>
    </xf>
    <xf numFmtId="0" fontId="3" fillId="0" borderId="6" xfId="0" applyFont="1" applyBorder="1" applyAlignment="1">
      <alignment horizontal="justify" vertical="center" wrapText="1"/>
    </xf>
    <xf numFmtId="0" fontId="1" fillId="2" borderId="1"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5" fillId="0" borderId="1" xfId="0" applyFont="1" applyBorder="1" applyAlignment="1">
      <alignment horizontal="center" vertical="center" textRotation="255" wrapText="1"/>
    </xf>
    <xf numFmtId="0" fontId="5" fillId="0" borderId="9" xfId="0" applyFont="1" applyBorder="1" applyAlignment="1">
      <alignment horizontal="center" vertical="center" textRotation="255" wrapText="1"/>
    </xf>
    <xf numFmtId="0" fontId="5" fillId="0" borderId="11" xfId="0" applyFont="1" applyBorder="1" applyAlignment="1">
      <alignment horizontal="center" vertical="center" textRotation="255" wrapText="1"/>
    </xf>
    <xf numFmtId="0" fontId="3" fillId="0" borderId="1" xfId="0" applyFont="1" applyBorder="1" applyAlignment="1">
      <alignment vertical="center" wrapText="1"/>
    </xf>
    <xf numFmtId="0" fontId="3" fillId="0" borderId="9" xfId="0" applyFont="1" applyBorder="1" applyAlignment="1">
      <alignment vertical="center" wrapText="1"/>
    </xf>
    <xf numFmtId="0" fontId="3" fillId="0" borderId="6" xfId="0" applyFont="1" applyBorder="1" applyAlignment="1">
      <alignment vertical="center" wrapText="1"/>
    </xf>
    <xf numFmtId="0" fontId="3" fillId="0" borderId="11" xfId="0" applyFont="1" applyBorder="1" applyAlignment="1">
      <alignment vertical="center" wrapText="1"/>
    </xf>
    <xf numFmtId="0" fontId="3" fillId="3" borderId="1"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7" fillId="0" borderId="12" xfId="0" applyFont="1" applyBorder="1" applyAlignment="1">
      <alignment horizontal="center" vertical="center" textRotation="255"/>
    </xf>
    <xf numFmtId="0" fontId="7" fillId="0" borderId="9" xfId="0" applyFont="1" applyBorder="1" applyAlignment="1">
      <alignment horizontal="center" vertical="center" textRotation="255"/>
    </xf>
    <xf numFmtId="0" fontId="7" fillId="0" borderId="6" xfId="0" applyFont="1" applyBorder="1" applyAlignment="1">
      <alignment horizontal="center" vertical="center" textRotation="255"/>
    </xf>
    <xf numFmtId="0" fontId="3" fillId="0" borderId="12" xfId="0" applyFont="1" applyBorder="1" applyAlignment="1">
      <alignment vertical="center" wrapText="1"/>
    </xf>
    <xf numFmtId="0" fontId="3" fillId="4" borderId="1"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2" fillId="0" borderId="1" xfId="0" applyFont="1" applyBorder="1" applyAlignment="1">
      <alignment horizontal="center" vertical="center" textRotation="255" wrapText="1"/>
    </xf>
    <xf numFmtId="0" fontId="2" fillId="0" borderId="9" xfId="0" applyFont="1" applyBorder="1" applyAlignment="1">
      <alignment horizontal="center" vertical="center" textRotation="255" wrapText="1"/>
    </xf>
    <xf numFmtId="0" fontId="2" fillId="0" borderId="6" xfId="0" applyFont="1" applyBorder="1" applyAlignment="1">
      <alignment horizontal="center" vertical="center" textRotation="255" wrapText="1"/>
    </xf>
    <xf numFmtId="0" fontId="4" fillId="0" borderId="1" xfId="0" applyFont="1" applyBorder="1" applyAlignment="1">
      <alignment vertical="center" wrapText="1"/>
    </xf>
    <xf numFmtId="0" fontId="4" fillId="0" borderId="9" xfId="0" applyFont="1" applyBorder="1" applyAlignment="1">
      <alignment vertical="center" wrapText="1"/>
    </xf>
    <xf numFmtId="0" fontId="4" fillId="0" borderId="11" xfId="0" applyFont="1" applyBorder="1" applyAlignment="1">
      <alignment vertical="center" wrapText="1"/>
    </xf>
    <xf numFmtId="0" fontId="1" fillId="5" borderId="1"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1" fillId="6" borderId="2"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5" fillId="0" borderId="1" xfId="0" applyFont="1" applyBorder="1" applyAlignment="1">
      <alignment horizontal="center" vertical="center" textRotation="255"/>
    </xf>
    <xf numFmtId="0" fontId="5" fillId="0" borderId="9" xfId="0" applyFont="1" applyBorder="1" applyAlignment="1">
      <alignment horizontal="center" vertical="center" textRotation="255"/>
    </xf>
    <xf numFmtId="0" fontId="5" fillId="0" borderId="6" xfId="0" applyFont="1" applyBorder="1" applyAlignment="1">
      <alignment horizontal="center" vertical="center" textRotation="255"/>
    </xf>
    <xf numFmtId="0" fontId="1" fillId="6" borderId="1" xfId="0" applyFont="1" applyFill="1" applyBorder="1" applyAlignment="1">
      <alignment horizontal="center" vertical="center" wrapText="1"/>
    </xf>
    <xf numFmtId="0" fontId="1" fillId="6" borderId="6" xfId="0" applyFont="1" applyFill="1" applyBorder="1" applyAlignment="1">
      <alignment horizontal="center" vertical="center" wrapText="1"/>
    </xf>
  </cellXfs>
  <cellStyles count="18">
    <cellStyle name="40% - Énfasis5 2" xfId="4"/>
    <cellStyle name="Euro" xfId="5"/>
    <cellStyle name="Euro 2" xfId="6"/>
    <cellStyle name="Millares" xfId="17" builtinId="3"/>
    <cellStyle name="Millares [0]" xfId="2" builtinId="6"/>
    <cellStyle name="Millares 2" xfId="7"/>
    <cellStyle name="Millares 2 2" xfId="8"/>
    <cellStyle name="Millares 3" xfId="9"/>
    <cellStyle name="Millares 3 2" xfId="10"/>
    <cellStyle name="Moneda" xfId="3" builtinId="4"/>
    <cellStyle name="Normal" xfId="0" builtinId="0"/>
    <cellStyle name="Normal 2" xfId="11"/>
    <cellStyle name="Normal 2 2" xfId="12"/>
    <cellStyle name="Normal 2 2 2" xfId="13"/>
    <cellStyle name="Normal 3" xfId="14"/>
    <cellStyle name="Normal 4" xfId="15"/>
    <cellStyle name="Porcentaje" xfId="1" builtinId="5"/>
    <cellStyle name="TableStyleLight1" xfId="16"/>
  </cellStyles>
  <dxfs count="655">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ill>
        <patternFill>
          <bgColor theme="0"/>
        </patternFill>
      </fill>
    </dxf>
    <dxf>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ill>
        <patternFill>
          <bgColor theme="0"/>
        </patternFill>
      </fill>
    </dxf>
    <dxf>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ill>
        <patternFill>
          <bgColor theme="0"/>
        </patternFill>
      </fill>
    </dxf>
    <dxf>
      <fill>
        <patternFill>
          <bgColor rgb="FF0070C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ont>
        <b/>
        <i val="0"/>
        <color theme="0"/>
      </font>
      <fill>
        <patternFill patternType="none">
          <bgColor auto="1"/>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patternType="none">
          <bgColor auto="1"/>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rgb="FFFF0000"/>
      </font>
      <fill>
        <patternFill>
          <bgColor theme="8" tint="0.79998168889431442"/>
        </patternFill>
      </fill>
    </dxf>
    <dxf>
      <font>
        <b/>
        <i val="0"/>
        <color rgb="FFFF0000"/>
      </font>
      <fill>
        <patternFill>
          <bgColor theme="9" tint="0.79998168889431442"/>
        </patternFill>
      </fill>
    </dxf>
    <dxf>
      <font>
        <b/>
        <i val="0"/>
        <color rgb="FFFF0000"/>
      </font>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fill>
        <patternFill>
          <bgColor theme="8" tint="0.79998168889431442"/>
        </patternFill>
      </fill>
    </dxf>
    <dxf>
      <font>
        <b/>
        <i val="0"/>
        <color rgb="FFFF0000"/>
      </font>
      <fill>
        <patternFill>
          <bgColor theme="9" tint="0.79998168889431442"/>
        </patternFill>
      </fill>
    </dxf>
    <dxf>
      <font>
        <b/>
        <i val="0"/>
        <color rgb="FFFF0000"/>
      </font>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fill>
        <patternFill>
          <bgColor theme="8" tint="0.79998168889431442"/>
        </patternFill>
      </fill>
    </dxf>
    <dxf>
      <font>
        <b/>
        <i val="0"/>
        <color rgb="FFFF0000"/>
      </font>
      <fill>
        <patternFill>
          <bgColor theme="9" tint="0.79998168889431442"/>
        </patternFill>
      </fill>
    </dxf>
    <dxf>
      <font>
        <b/>
        <i val="0"/>
        <color rgb="FFFF0000"/>
      </font>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fill>
        <patternFill>
          <bgColor theme="8" tint="0.79998168889431442"/>
        </patternFill>
      </fill>
    </dxf>
    <dxf>
      <font>
        <b/>
        <i val="0"/>
        <color rgb="FFFF0000"/>
      </font>
      <fill>
        <patternFill>
          <bgColor theme="9" tint="0.79998168889431442"/>
        </patternFill>
      </fill>
    </dxf>
    <dxf>
      <font>
        <b/>
        <i val="0"/>
        <color rgb="FFFF0000"/>
      </font>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fill>
        <patternFill>
          <bgColor theme="8" tint="0.79998168889431442"/>
        </patternFill>
      </fill>
    </dxf>
    <dxf>
      <font>
        <b/>
        <i val="0"/>
        <color rgb="FFFF0000"/>
      </font>
      <fill>
        <patternFill>
          <bgColor theme="9" tint="0.79998168889431442"/>
        </patternFill>
      </fill>
    </dxf>
    <dxf>
      <font>
        <b/>
        <i val="0"/>
        <color rgb="FFFF0000"/>
      </font>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s>
  <tableStyles count="0" defaultTableStyle="TableStyleMedium2" defaultPivotStyle="PivotStyleLight16"/>
  <colors>
    <mruColors>
      <color rgb="FF8D191D"/>
      <color rgb="FFAD142E"/>
      <color rgb="FFFF9966"/>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 Formación 1er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Ejecucion!$F$2</c:f>
              <c:strCache>
                <c:ptCount val="1"/>
                <c:pt idx="0">
                  <c:v>EFICIENCIA</c:v>
                </c:pt>
              </c:strCache>
            </c:strRef>
          </c:tx>
          <c:spPr>
            <a:solidFill>
              <a:schemeClr val="accent1"/>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Ejecucion!$F$3:$F$9</c:f>
              <c:numCache>
                <c:formatCode>0.00%</c:formatCode>
                <c:ptCount val="7"/>
                <c:pt idx="0">
                  <c:v>0.69502315756186284</c:v>
                </c:pt>
                <c:pt idx="1">
                  <c:v>0.69558032432432437</c:v>
                </c:pt>
                <c:pt idx="2">
                  <c:v>0.69261774460031567</c:v>
                </c:pt>
                <c:pt idx="3">
                  <c:v>0.94139243583196874</c:v>
                </c:pt>
                <c:pt idx="4">
                  <c:v>1</c:v>
                </c:pt>
                <c:pt idx="5">
                  <c:v>0.77246401797752806</c:v>
                </c:pt>
                <c:pt idx="6">
                  <c:v>0.71621717865610335</c:v>
                </c:pt>
              </c:numCache>
            </c:numRef>
          </c:val>
          <c:extLst xmlns:c16r2="http://schemas.microsoft.com/office/drawing/2015/06/chart">
            <c:ext xmlns:c16="http://schemas.microsoft.com/office/drawing/2014/chart" uri="{C3380CC4-5D6E-409C-BE32-E72D297353CC}">
              <c16:uniqueId val="{00000000-3FED-491C-B58D-E9E6F3253E92}"/>
            </c:ext>
          </c:extLst>
        </c:ser>
        <c:ser>
          <c:idx val="1"/>
          <c:order val="1"/>
          <c:tx>
            <c:strRef>
              <c:f>Ejecucion!$G$2</c:f>
              <c:strCache>
                <c:ptCount val="1"/>
                <c:pt idx="0">
                  <c:v>EFICACIA</c:v>
                </c:pt>
              </c:strCache>
            </c:strRef>
          </c:tx>
          <c:spPr>
            <a:solidFill>
              <a:schemeClr val="accent2"/>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Ejecucion!$G$3:$G$9</c:f>
              <c:numCache>
                <c:formatCode>0.00%</c:formatCode>
                <c:ptCount val="7"/>
                <c:pt idx="0">
                  <c:v>1</c:v>
                </c:pt>
                <c:pt idx="1">
                  <c:v>1</c:v>
                </c:pt>
                <c:pt idx="2">
                  <c:v>1</c:v>
                </c:pt>
                <c:pt idx="3">
                  <c:v>1</c:v>
                </c:pt>
                <c:pt idx="4">
                  <c:v>1</c:v>
                </c:pt>
                <c:pt idx="5">
                  <c:v>1</c:v>
                </c:pt>
                <c:pt idx="6">
                  <c:v>1</c:v>
                </c:pt>
              </c:numCache>
            </c:numRef>
          </c:val>
          <c:extLst xmlns:c16r2="http://schemas.microsoft.com/office/drawing/2015/06/chart">
            <c:ext xmlns:c16="http://schemas.microsoft.com/office/drawing/2014/chart" uri="{C3380CC4-5D6E-409C-BE32-E72D297353CC}">
              <c16:uniqueId val="{00000001-3FED-491C-B58D-E9E6F3253E92}"/>
            </c:ext>
          </c:extLst>
        </c:ser>
        <c:ser>
          <c:idx val="2"/>
          <c:order val="2"/>
          <c:tx>
            <c:strRef>
              <c:f>Ejecucion!$I$2</c:f>
              <c:strCache>
                <c:ptCount val="1"/>
                <c:pt idx="0">
                  <c:v>EFECTIVIDAD</c:v>
                </c:pt>
              </c:strCache>
            </c:strRef>
          </c:tx>
          <c:spPr>
            <a:solidFill>
              <a:schemeClr val="accent3"/>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Ejecucion!$I$3:$I$9</c:f>
              <c:numCache>
                <c:formatCode>0.00%</c:formatCode>
                <c:ptCount val="7"/>
                <c:pt idx="0">
                  <c:v>0.84751157878093142</c:v>
                </c:pt>
                <c:pt idx="1">
                  <c:v>0.84779016216216219</c:v>
                </c:pt>
                <c:pt idx="2">
                  <c:v>0.84630887230015783</c:v>
                </c:pt>
                <c:pt idx="3">
                  <c:v>0.97069621791598437</c:v>
                </c:pt>
                <c:pt idx="4">
                  <c:v>1</c:v>
                </c:pt>
                <c:pt idx="5">
                  <c:v>0.88623200898876409</c:v>
                </c:pt>
                <c:pt idx="6">
                  <c:v>0.85810858932805167</c:v>
                </c:pt>
              </c:numCache>
            </c:numRef>
          </c:val>
          <c:extLst xmlns:c16r2="http://schemas.microsoft.com/office/drawing/2015/06/chart">
            <c:ext xmlns:c16="http://schemas.microsoft.com/office/drawing/2014/chart" uri="{C3380CC4-5D6E-409C-BE32-E72D297353CC}">
              <c16:uniqueId val="{00000002-3FED-491C-B58D-E9E6F3253E92}"/>
            </c:ext>
          </c:extLst>
        </c:ser>
        <c:dLbls>
          <c:showLegendKey val="0"/>
          <c:showVal val="0"/>
          <c:showCatName val="0"/>
          <c:showSerName val="0"/>
          <c:showPercent val="0"/>
          <c:showBubbleSize val="0"/>
        </c:dLbls>
        <c:gapWidth val="150"/>
        <c:shape val="box"/>
        <c:axId val="101747712"/>
        <c:axId val="102982400"/>
        <c:axId val="0"/>
      </c:bar3DChart>
      <c:catAx>
        <c:axId val="101747712"/>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2982400"/>
        <c:crosses val="autoZero"/>
        <c:auto val="1"/>
        <c:lblAlgn val="ctr"/>
        <c:lblOffset val="100"/>
        <c:noMultiLvlLbl val="0"/>
      </c:catAx>
      <c:valAx>
        <c:axId val="102982400"/>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17477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 Investigación 2do Trimestre 2018</a:t>
            </a:r>
          </a:p>
        </c:rich>
      </c:tx>
      <c:overlay val="0"/>
      <c:spPr>
        <a:noFill/>
        <a:ln>
          <a:noFill/>
        </a:ln>
        <a:effectLst/>
      </c:spPr>
    </c:title>
    <c:autoTitleDeleted val="0"/>
    <c:plotArea>
      <c:layout/>
      <c:barChart>
        <c:barDir val="bar"/>
        <c:grouping val="clustered"/>
        <c:varyColors val="0"/>
        <c:ser>
          <c:idx val="0"/>
          <c:order val="0"/>
          <c:tx>
            <c:strRef>
              <c:f>Ejecucion!$P$14</c:f>
              <c:strCache>
                <c:ptCount val="1"/>
                <c:pt idx="0">
                  <c:v>EFICIENCIA</c:v>
                </c:pt>
              </c:strCache>
            </c:strRef>
          </c:tx>
          <c:spPr>
            <a:solidFill>
              <a:schemeClr val="accent1"/>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Ejecucion!$P$15:$P$23</c:f>
              <c:numCache>
                <c:formatCode>0.00%</c:formatCode>
                <c:ptCount val="9"/>
                <c:pt idx="0">
                  <c:v>0.66840578250321225</c:v>
                </c:pt>
                <c:pt idx="1">
                  <c:v>0.94221589458928723</c:v>
                </c:pt>
                <c:pt idx="2">
                  <c:v>0.50100131755063959</c:v>
                </c:pt>
                <c:pt idx="3">
                  <c:v>0.64449101634115324</c:v>
                </c:pt>
                <c:pt idx="4">
                  <c:v>0.65402907473684213</c:v>
                </c:pt>
                <c:pt idx="5">
                  <c:v>1.6000000000000001E-8</c:v>
                </c:pt>
                <c:pt idx="6">
                  <c:v>1.0000000000000001E-7</c:v>
                </c:pt>
                <c:pt idx="7">
                  <c:v>0.36317035618515425</c:v>
                </c:pt>
                <c:pt idx="8">
                  <c:v>0.7257779314696029</c:v>
                </c:pt>
              </c:numCache>
            </c:numRef>
          </c:val>
          <c:extLst xmlns:c16r2="http://schemas.microsoft.com/office/drawing/2015/06/chart">
            <c:ext xmlns:c16="http://schemas.microsoft.com/office/drawing/2014/chart" uri="{C3380CC4-5D6E-409C-BE32-E72D297353CC}">
              <c16:uniqueId val="{00000000-D2E5-4AC6-B47B-3EA9975017D8}"/>
            </c:ext>
          </c:extLst>
        </c:ser>
        <c:ser>
          <c:idx val="1"/>
          <c:order val="1"/>
          <c:tx>
            <c:strRef>
              <c:f>Ejecucion!$Q$14</c:f>
              <c:strCache>
                <c:ptCount val="1"/>
                <c:pt idx="0">
                  <c:v>EFICACIA</c:v>
                </c:pt>
              </c:strCache>
            </c:strRef>
          </c:tx>
          <c:spPr>
            <a:solidFill>
              <a:schemeClr val="accent2"/>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Ejecucion!$Q$15:$Q$23</c:f>
              <c:numCache>
                <c:formatCode>0.00%</c:formatCode>
                <c:ptCount val="9"/>
                <c:pt idx="0">
                  <c:v>0.94299999999999995</c:v>
                </c:pt>
                <c:pt idx="1">
                  <c:v>0.82721088435374157</c:v>
                </c:pt>
                <c:pt idx="2">
                  <c:v>0.67733333333333334</c:v>
                </c:pt>
                <c:pt idx="3">
                  <c:v>0.5641025641025641</c:v>
                </c:pt>
                <c:pt idx="4">
                  <c:v>0.66666666666666663</c:v>
                </c:pt>
                <c:pt idx="5">
                  <c:v>1</c:v>
                </c:pt>
                <c:pt idx="6">
                  <c:v>1</c:v>
                </c:pt>
                <c:pt idx="7">
                  <c:v>0.92300000000000004</c:v>
                </c:pt>
                <c:pt idx="8">
                  <c:v>0.99019607843137258</c:v>
                </c:pt>
              </c:numCache>
            </c:numRef>
          </c:val>
          <c:extLst xmlns:c16r2="http://schemas.microsoft.com/office/drawing/2015/06/chart">
            <c:ext xmlns:c16="http://schemas.microsoft.com/office/drawing/2014/chart" uri="{C3380CC4-5D6E-409C-BE32-E72D297353CC}">
              <c16:uniqueId val="{00000001-D2E5-4AC6-B47B-3EA9975017D8}"/>
            </c:ext>
          </c:extLst>
        </c:ser>
        <c:ser>
          <c:idx val="2"/>
          <c:order val="2"/>
          <c:tx>
            <c:strRef>
              <c:f>Ejecucion!$S$14</c:f>
              <c:strCache>
                <c:ptCount val="1"/>
                <c:pt idx="0">
                  <c:v>EFECTIVIDAD</c:v>
                </c:pt>
              </c:strCache>
            </c:strRef>
          </c:tx>
          <c:spPr>
            <a:solidFill>
              <a:schemeClr val="accent3"/>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Ejecucion!$S$15:$S$23</c:f>
              <c:numCache>
                <c:formatCode>0.00%</c:formatCode>
                <c:ptCount val="9"/>
                <c:pt idx="0">
                  <c:v>0.8057028912516061</c:v>
                </c:pt>
                <c:pt idx="1">
                  <c:v>0.88471338947151446</c:v>
                </c:pt>
                <c:pt idx="2">
                  <c:v>0.58916732544198647</c:v>
                </c:pt>
                <c:pt idx="3">
                  <c:v>0.60429679022185867</c:v>
                </c:pt>
                <c:pt idx="4">
                  <c:v>0.66034787070175438</c:v>
                </c:pt>
                <c:pt idx="5">
                  <c:v>0.500000008</c:v>
                </c:pt>
                <c:pt idx="6">
                  <c:v>0.50000005000000003</c:v>
                </c:pt>
                <c:pt idx="7">
                  <c:v>0.64308517809257715</c:v>
                </c:pt>
                <c:pt idx="8">
                  <c:v>0.85798700495048774</c:v>
                </c:pt>
              </c:numCache>
            </c:numRef>
          </c:val>
          <c:extLst xmlns:c16r2="http://schemas.microsoft.com/office/drawing/2015/06/chart">
            <c:ext xmlns:c16="http://schemas.microsoft.com/office/drawing/2014/chart" uri="{C3380CC4-5D6E-409C-BE32-E72D297353CC}">
              <c16:uniqueId val="{00000002-D2E5-4AC6-B47B-3EA9975017D8}"/>
            </c:ext>
          </c:extLst>
        </c:ser>
        <c:dLbls>
          <c:showLegendKey val="0"/>
          <c:showVal val="0"/>
          <c:showCatName val="0"/>
          <c:showSerName val="0"/>
          <c:showPercent val="0"/>
          <c:showBubbleSize val="0"/>
        </c:dLbls>
        <c:gapWidth val="182"/>
        <c:axId val="40564608"/>
        <c:axId val="40566144"/>
      </c:barChart>
      <c:catAx>
        <c:axId val="405646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0566144"/>
        <c:crosses val="autoZero"/>
        <c:auto val="1"/>
        <c:lblAlgn val="ctr"/>
        <c:lblOffset val="100"/>
        <c:noMultiLvlLbl val="0"/>
      </c:catAx>
      <c:valAx>
        <c:axId val="4056614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05646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a:t>
            </a:r>
            <a:r>
              <a:rPr lang="es-CO" baseline="0">
                <a:solidFill>
                  <a:sysClr val="windowText" lastClr="000000"/>
                </a:solidFill>
              </a:rPr>
              <a:t> Proyección Social 2do Trimestre 2018</a:t>
            </a:r>
            <a:endParaRPr lang="es-CO">
              <a:solidFill>
                <a:sysClr val="windowText" lastClr="000000"/>
              </a:solidFill>
            </a:endParaRPr>
          </a:p>
        </c:rich>
      </c:tx>
      <c:overlay val="0"/>
      <c:spPr>
        <a:noFill/>
        <a:ln>
          <a:noFill/>
        </a:ln>
        <a:effectLst/>
      </c:spPr>
    </c:title>
    <c:autoTitleDeleted val="0"/>
    <c:plotArea>
      <c:layout/>
      <c:barChart>
        <c:barDir val="bar"/>
        <c:grouping val="clustered"/>
        <c:varyColors val="0"/>
        <c:ser>
          <c:idx val="0"/>
          <c:order val="0"/>
          <c:tx>
            <c:strRef>
              <c:f>Ejecucion!$P$28</c:f>
              <c:strCache>
                <c:ptCount val="1"/>
                <c:pt idx="0">
                  <c:v>EFICIENCIA</c:v>
                </c:pt>
              </c:strCache>
            </c:strRef>
          </c:tx>
          <c:spPr>
            <a:solidFill>
              <a:schemeClr val="accent1"/>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Ejecucion!$P$29:$P$36</c:f>
              <c:numCache>
                <c:formatCode>0.00%</c:formatCode>
                <c:ptCount val="8"/>
                <c:pt idx="0">
                  <c:v>0.74458870938588007</c:v>
                </c:pt>
                <c:pt idx="1">
                  <c:v>1</c:v>
                </c:pt>
                <c:pt idx="2">
                  <c:v>0.96203363580646606</c:v>
                </c:pt>
                <c:pt idx="3">
                  <c:v>0.19181839156744093</c:v>
                </c:pt>
                <c:pt idx="4">
                  <c:v>1</c:v>
                </c:pt>
                <c:pt idx="5">
                  <c:v>1</c:v>
                </c:pt>
                <c:pt idx="6">
                  <c:v>3.3333333333333334E-8</c:v>
                </c:pt>
                <c:pt idx="7">
                  <c:v>0.95434007197849968</c:v>
                </c:pt>
              </c:numCache>
            </c:numRef>
          </c:val>
          <c:extLst xmlns:c16r2="http://schemas.microsoft.com/office/drawing/2015/06/chart">
            <c:ext xmlns:c16="http://schemas.microsoft.com/office/drawing/2014/chart" uri="{C3380CC4-5D6E-409C-BE32-E72D297353CC}">
              <c16:uniqueId val="{00000000-3D44-4F4A-8B6B-9A1BA0110FFE}"/>
            </c:ext>
          </c:extLst>
        </c:ser>
        <c:ser>
          <c:idx val="1"/>
          <c:order val="1"/>
          <c:tx>
            <c:strRef>
              <c:f>Ejecucion!$Q$28</c:f>
              <c:strCache>
                <c:ptCount val="1"/>
                <c:pt idx="0">
                  <c:v>EFICACIA</c:v>
                </c:pt>
              </c:strCache>
            </c:strRef>
          </c:tx>
          <c:spPr>
            <a:solidFill>
              <a:schemeClr val="accent2"/>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Ejecucion!$Q$29:$Q$36</c:f>
              <c:numCache>
                <c:formatCode>0.00%</c:formatCode>
                <c:ptCount val="8"/>
                <c:pt idx="0">
                  <c:v>0.96499999999999997</c:v>
                </c:pt>
                <c:pt idx="1">
                  <c:v>1</c:v>
                </c:pt>
                <c:pt idx="2">
                  <c:v>0.75452440476190485</c:v>
                </c:pt>
                <c:pt idx="3">
                  <c:v>0.94299999999999995</c:v>
                </c:pt>
                <c:pt idx="4">
                  <c:v>1</c:v>
                </c:pt>
                <c:pt idx="5">
                  <c:v>1</c:v>
                </c:pt>
                <c:pt idx="6">
                  <c:v>1</c:v>
                </c:pt>
                <c:pt idx="7">
                  <c:v>1</c:v>
                </c:pt>
              </c:numCache>
            </c:numRef>
          </c:val>
          <c:extLst xmlns:c16r2="http://schemas.microsoft.com/office/drawing/2015/06/chart">
            <c:ext xmlns:c16="http://schemas.microsoft.com/office/drawing/2014/chart" uri="{C3380CC4-5D6E-409C-BE32-E72D297353CC}">
              <c16:uniqueId val="{00000001-3D44-4F4A-8B6B-9A1BA0110FFE}"/>
            </c:ext>
          </c:extLst>
        </c:ser>
        <c:ser>
          <c:idx val="2"/>
          <c:order val="2"/>
          <c:tx>
            <c:strRef>
              <c:f>Ejecucion!$S$28</c:f>
              <c:strCache>
                <c:ptCount val="1"/>
                <c:pt idx="0">
                  <c:v>EFECTIVIDAD</c:v>
                </c:pt>
              </c:strCache>
            </c:strRef>
          </c:tx>
          <c:spPr>
            <a:solidFill>
              <a:schemeClr val="accent3"/>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Ejecucion!$S$29:$S$36</c:f>
              <c:numCache>
                <c:formatCode>0.00%</c:formatCode>
                <c:ptCount val="8"/>
                <c:pt idx="0">
                  <c:v>0.85479435469293996</c:v>
                </c:pt>
                <c:pt idx="1">
                  <c:v>1</c:v>
                </c:pt>
                <c:pt idx="2">
                  <c:v>0.85827902028418546</c:v>
                </c:pt>
                <c:pt idx="3">
                  <c:v>0.5674091957837204</c:v>
                </c:pt>
                <c:pt idx="4">
                  <c:v>1</c:v>
                </c:pt>
                <c:pt idx="5">
                  <c:v>1</c:v>
                </c:pt>
                <c:pt idx="6">
                  <c:v>0.50000001666666671</c:v>
                </c:pt>
                <c:pt idx="7">
                  <c:v>0.9771700359892499</c:v>
                </c:pt>
              </c:numCache>
            </c:numRef>
          </c:val>
          <c:extLst xmlns:c16r2="http://schemas.microsoft.com/office/drawing/2015/06/chart">
            <c:ext xmlns:c16="http://schemas.microsoft.com/office/drawing/2014/chart" uri="{C3380CC4-5D6E-409C-BE32-E72D297353CC}">
              <c16:uniqueId val="{00000002-3D44-4F4A-8B6B-9A1BA0110FFE}"/>
            </c:ext>
          </c:extLst>
        </c:ser>
        <c:dLbls>
          <c:showLegendKey val="0"/>
          <c:showVal val="0"/>
          <c:showCatName val="0"/>
          <c:showSerName val="0"/>
          <c:showPercent val="0"/>
          <c:showBubbleSize val="0"/>
        </c:dLbls>
        <c:gapWidth val="182"/>
        <c:axId val="40990976"/>
        <c:axId val="40996864"/>
      </c:barChart>
      <c:catAx>
        <c:axId val="4099097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0996864"/>
        <c:crosses val="autoZero"/>
        <c:auto val="1"/>
        <c:lblAlgn val="ctr"/>
        <c:lblOffset val="100"/>
        <c:noMultiLvlLbl val="0"/>
      </c:catAx>
      <c:valAx>
        <c:axId val="4099686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09909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Bienestar Universitario 2do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Ejecucion!$P$41</c:f>
              <c:strCache>
                <c:ptCount val="1"/>
                <c:pt idx="0">
                  <c:v>EFICIENCIA</c:v>
                </c:pt>
              </c:strCache>
            </c:strRef>
          </c:tx>
          <c:spPr>
            <a:solidFill>
              <a:schemeClr val="accent1"/>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Ejecucion!$P$42:$P$48</c:f>
              <c:numCache>
                <c:formatCode>0.00%</c:formatCode>
                <c:ptCount val="7"/>
                <c:pt idx="0">
                  <c:v>0.79318223985198055</c:v>
                </c:pt>
                <c:pt idx="1">
                  <c:v>1</c:v>
                </c:pt>
                <c:pt idx="2">
                  <c:v>1</c:v>
                </c:pt>
                <c:pt idx="3">
                  <c:v>0.28866093815914534</c:v>
                </c:pt>
                <c:pt idx="4">
                  <c:v>1</c:v>
                </c:pt>
                <c:pt idx="5">
                  <c:v>6.6666666666666668E-8</c:v>
                </c:pt>
                <c:pt idx="6">
                  <c:v>0.83513606566696963</c:v>
                </c:pt>
              </c:numCache>
            </c:numRef>
          </c:val>
          <c:extLst xmlns:c16r2="http://schemas.microsoft.com/office/drawing/2015/06/chart">
            <c:ext xmlns:c16="http://schemas.microsoft.com/office/drawing/2014/chart" uri="{C3380CC4-5D6E-409C-BE32-E72D297353CC}">
              <c16:uniqueId val="{00000000-259D-46CE-A308-8E608B97B094}"/>
            </c:ext>
          </c:extLst>
        </c:ser>
        <c:ser>
          <c:idx val="1"/>
          <c:order val="1"/>
          <c:tx>
            <c:strRef>
              <c:f>Ejecucion!$Q$41</c:f>
              <c:strCache>
                <c:ptCount val="1"/>
                <c:pt idx="0">
                  <c:v>EFICACIA</c:v>
                </c:pt>
              </c:strCache>
            </c:strRef>
          </c:tx>
          <c:spPr>
            <a:solidFill>
              <a:schemeClr val="accent2"/>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Ejecucion!$Q$42:$Q$48</c:f>
              <c:numCache>
                <c:formatCode>0.00%</c:formatCode>
                <c:ptCount val="7"/>
                <c:pt idx="0">
                  <c:v>0.96499999999999997</c:v>
                </c:pt>
                <c:pt idx="1">
                  <c:v>1</c:v>
                </c:pt>
                <c:pt idx="2">
                  <c:v>1</c:v>
                </c:pt>
                <c:pt idx="3">
                  <c:v>2.1666666666666667E-5</c:v>
                </c:pt>
                <c:pt idx="4">
                  <c:v>0.97940582593461412</c:v>
                </c:pt>
                <c:pt idx="5">
                  <c:v>4.0000000000000003E-5</c:v>
                </c:pt>
                <c:pt idx="6">
                  <c:v>1</c:v>
                </c:pt>
              </c:numCache>
            </c:numRef>
          </c:val>
          <c:extLst xmlns:c16r2="http://schemas.microsoft.com/office/drawing/2015/06/chart">
            <c:ext xmlns:c16="http://schemas.microsoft.com/office/drawing/2014/chart" uri="{C3380CC4-5D6E-409C-BE32-E72D297353CC}">
              <c16:uniqueId val="{00000001-259D-46CE-A308-8E608B97B094}"/>
            </c:ext>
          </c:extLst>
        </c:ser>
        <c:ser>
          <c:idx val="2"/>
          <c:order val="2"/>
          <c:tx>
            <c:strRef>
              <c:f>Ejecucion!$S$41</c:f>
              <c:strCache>
                <c:ptCount val="1"/>
                <c:pt idx="0">
                  <c:v>EFECTIVIDAD</c:v>
                </c:pt>
              </c:strCache>
            </c:strRef>
          </c:tx>
          <c:spPr>
            <a:solidFill>
              <a:srgbClr val="00B050"/>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Ejecucion!$S$42:$S$48</c:f>
              <c:numCache>
                <c:formatCode>0.00%</c:formatCode>
                <c:ptCount val="7"/>
                <c:pt idx="0">
                  <c:v>0.87909111992599032</c:v>
                </c:pt>
                <c:pt idx="1">
                  <c:v>1</c:v>
                </c:pt>
                <c:pt idx="2">
                  <c:v>1</c:v>
                </c:pt>
                <c:pt idx="3">
                  <c:v>0.14434130241290599</c:v>
                </c:pt>
                <c:pt idx="4">
                  <c:v>0.98970291296730706</c:v>
                </c:pt>
                <c:pt idx="5">
                  <c:v>2.0033333333333334E-5</c:v>
                </c:pt>
                <c:pt idx="6">
                  <c:v>0.91756803283348476</c:v>
                </c:pt>
              </c:numCache>
            </c:numRef>
          </c:val>
          <c:extLst xmlns:c16r2="http://schemas.microsoft.com/office/drawing/2015/06/chart">
            <c:ext xmlns:c16="http://schemas.microsoft.com/office/drawing/2014/chart" uri="{C3380CC4-5D6E-409C-BE32-E72D297353CC}">
              <c16:uniqueId val="{00000002-259D-46CE-A308-8E608B97B094}"/>
            </c:ext>
          </c:extLst>
        </c:ser>
        <c:dLbls>
          <c:showLegendKey val="0"/>
          <c:showVal val="0"/>
          <c:showCatName val="0"/>
          <c:showSerName val="0"/>
          <c:showPercent val="0"/>
          <c:showBubbleSize val="0"/>
        </c:dLbls>
        <c:gapWidth val="150"/>
        <c:shape val="box"/>
        <c:axId val="41032704"/>
        <c:axId val="41042688"/>
        <c:axId val="0"/>
      </c:bar3DChart>
      <c:catAx>
        <c:axId val="41032704"/>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042688"/>
        <c:crosses val="autoZero"/>
        <c:auto val="1"/>
        <c:lblAlgn val="ctr"/>
        <c:lblOffset val="100"/>
        <c:noMultiLvlLbl val="0"/>
      </c:catAx>
      <c:valAx>
        <c:axId val="41042688"/>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0327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Administrativo 2do</a:t>
            </a:r>
            <a:r>
              <a:rPr lang="es-CO" baseline="0">
                <a:solidFill>
                  <a:sysClr val="windowText" lastClr="000000"/>
                </a:solidFill>
              </a:rPr>
              <a:t> Trimestre 2018</a:t>
            </a:r>
            <a:endParaRPr lang="es-CO">
              <a:solidFill>
                <a:sysClr val="windowText" lastClr="000000"/>
              </a:solidFill>
            </a:endParaRP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Ejecucion!$P$53</c:f>
              <c:strCache>
                <c:ptCount val="1"/>
                <c:pt idx="0">
                  <c:v>EFICIENCIA</c:v>
                </c:pt>
              </c:strCache>
            </c:strRef>
          </c:tx>
          <c:spPr>
            <a:solidFill>
              <a:schemeClr val="accent1"/>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(Ejecucion!$P$54,Ejecucion!$P$55,Ejecucion!$P$56,Ejecucion!$P$58,Ejecucion!$P$60)</c:f>
              <c:numCache>
                <c:formatCode>0.00%</c:formatCode>
                <c:ptCount val="4"/>
                <c:pt idx="0">
                  <c:v>0</c:v>
                </c:pt>
                <c:pt idx="1">
                  <c:v>0.20047196726347088</c:v>
                </c:pt>
                <c:pt idx="2">
                  <c:v>0.81843036663577895</c:v>
                </c:pt>
                <c:pt idx="3">
                  <c:v>1</c:v>
                </c:pt>
              </c:numCache>
            </c:numRef>
          </c:val>
          <c:extLst xmlns:c16r2="http://schemas.microsoft.com/office/drawing/2015/06/chart">
            <c:ext xmlns:c16="http://schemas.microsoft.com/office/drawing/2014/chart" uri="{C3380CC4-5D6E-409C-BE32-E72D297353CC}">
              <c16:uniqueId val="{00000000-8A5A-436C-B0DE-15E845584270}"/>
            </c:ext>
          </c:extLst>
        </c:ser>
        <c:ser>
          <c:idx val="1"/>
          <c:order val="1"/>
          <c:tx>
            <c:strRef>
              <c:f>Ejecucion!$Q$53</c:f>
              <c:strCache>
                <c:ptCount val="1"/>
                <c:pt idx="0">
                  <c:v>EFICACIA</c:v>
                </c:pt>
              </c:strCache>
            </c:strRef>
          </c:tx>
          <c:spPr>
            <a:solidFill>
              <a:schemeClr val="accent2"/>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(Ejecucion!$Q$54,Ejecucion!$Q$55,Ejecucion!$Q$56,Ejecucion!$Q$58,Ejecucion!$Q$60)</c:f>
              <c:numCache>
                <c:formatCode>0.00%</c:formatCode>
                <c:ptCount val="4"/>
                <c:pt idx="0">
                  <c:v>0.99999999999999978</c:v>
                </c:pt>
                <c:pt idx="1">
                  <c:v>0.53706659109505273</c:v>
                </c:pt>
                <c:pt idx="2">
                  <c:v>1</c:v>
                </c:pt>
                <c:pt idx="3">
                  <c:v>1</c:v>
                </c:pt>
              </c:numCache>
            </c:numRef>
          </c:val>
          <c:extLst xmlns:c16r2="http://schemas.microsoft.com/office/drawing/2015/06/chart">
            <c:ext xmlns:c16="http://schemas.microsoft.com/office/drawing/2014/chart" uri="{C3380CC4-5D6E-409C-BE32-E72D297353CC}">
              <c16:uniqueId val="{00000001-8A5A-436C-B0DE-15E845584270}"/>
            </c:ext>
          </c:extLst>
        </c:ser>
        <c:ser>
          <c:idx val="2"/>
          <c:order val="2"/>
          <c:tx>
            <c:strRef>
              <c:f>Ejecucion!$S$53</c:f>
              <c:strCache>
                <c:ptCount val="1"/>
                <c:pt idx="0">
                  <c:v>EFECTIVIDAD</c:v>
                </c:pt>
              </c:strCache>
            </c:strRef>
          </c:tx>
          <c:spPr>
            <a:solidFill>
              <a:schemeClr val="accent3"/>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(Ejecucion!$S$54,Ejecucion!$S$55,Ejecucion!$S$56,Ejecucion!$S$58,Ejecucion!$S$60)</c:f>
              <c:numCache>
                <c:formatCode>0.00%</c:formatCode>
                <c:ptCount val="4"/>
                <c:pt idx="0">
                  <c:v>0.49999999999999989</c:v>
                </c:pt>
                <c:pt idx="1">
                  <c:v>0.36876927917926183</c:v>
                </c:pt>
                <c:pt idx="2">
                  <c:v>0.90921518331788942</c:v>
                </c:pt>
                <c:pt idx="3">
                  <c:v>1</c:v>
                </c:pt>
              </c:numCache>
            </c:numRef>
          </c:val>
          <c:extLst xmlns:c16r2="http://schemas.microsoft.com/office/drawing/2015/06/chart">
            <c:ext xmlns:c16="http://schemas.microsoft.com/office/drawing/2014/chart" uri="{C3380CC4-5D6E-409C-BE32-E72D297353CC}">
              <c16:uniqueId val="{00000002-8A5A-436C-B0DE-15E845584270}"/>
            </c:ext>
          </c:extLst>
        </c:ser>
        <c:dLbls>
          <c:showLegendKey val="0"/>
          <c:showVal val="0"/>
          <c:showCatName val="0"/>
          <c:showSerName val="0"/>
          <c:showPercent val="0"/>
          <c:showBubbleSize val="0"/>
        </c:dLbls>
        <c:gapWidth val="150"/>
        <c:shape val="box"/>
        <c:axId val="41156608"/>
        <c:axId val="41158144"/>
        <c:axId val="0"/>
      </c:bar3DChart>
      <c:catAx>
        <c:axId val="41156608"/>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158144"/>
        <c:crosses val="autoZero"/>
        <c:auto val="1"/>
        <c:lblAlgn val="ctr"/>
        <c:lblOffset val="100"/>
        <c:noMultiLvlLbl val="0"/>
      </c:catAx>
      <c:valAx>
        <c:axId val="4115814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1566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Plan Desarrollo 2do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'2 Trimestre'!$E$2</c:f>
              <c:strCache>
                <c:ptCount val="1"/>
                <c:pt idx="0">
                  <c:v>EFICIENCIA</c:v>
                </c:pt>
              </c:strCache>
            </c:strRef>
          </c:tx>
          <c:spPr>
            <a:solidFill>
              <a:schemeClr val="accent1"/>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 Trimestre'!$A$3:$A$7</c:f>
              <c:strCache>
                <c:ptCount val="5"/>
                <c:pt idx="0">
                  <c:v>FORMACIÓN</c:v>
                </c:pt>
                <c:pt idx="1">
                  <c:v>INVESTIGACIÓN</c:v>
                </c:pt>
                <c:pt idx="2">
                  <c:v>PROYECCIÓN SOCIAL</c:v>
                </c:pt>
                <c:pt idx="3">
                  <c:v>BIENESTAR UNIVERSITARIO</c:v>
                </c:pt>
                <c:pt idx="4">
                  <c:v>ADMINISTRATIVO</c:v>
                </c:pt>
              </c:strCache>
            </c:strRef>
          </c:cat>
          <c:val>
            <c:numRef>
              <c:f>'2 Trimestre'!$E$3:$E$7</c:f>
              <c:numCache>
                <c:formatCode>0.00%</c:formatCode>
                <c:ptCount val="5"/>
                <c:pt idx="0">
                  <c:v>0.84651734398937251</c:v>
                </c:pt>
                <c:pt idx="1">
                  <c:v>0.67862848055804326</c:v>
                </c:pt>
                <c:pt idx="2">
                  <c:v>0.9403641809781963</c:v>
                </c:pt>
                <c:pt idx="3">
                  <c:v>0.95744077829756347</c:v>
                </c:pt>
                <c:pt idx="4">
                  <c:v>0.22405233072858821</c:v>
                </c:pt>
              </c:numCache>
            </c:numRef>
          </c:val>
          <c:extLst xmlns:c16r2="http://schemas.microsoft.com/office/drawing/2015/06/chart">
            <c:ext xmlns:c16="http://schemas.microsoft.com/office/drawing/2014/chart" uri="{C3380CC4-5D6E-409C-BE32-E72D297353CC}">
              <c16:uniqueId val="{00000000-3A04-44FD-BAE5-20C1C18699C4}"/>
            </c:ext>
          </c:extLst>
        </c:ser>
        <c:ser>
          <c:idx val="1"/>
          <c:order val="1"/>
          <c:tx>
            <c:strRef>
              <c:f>'2 Trimestre'!$F$2</c:f>
              <c:strCache>
                <c:ptCount val="1"/>
                <c:pt idx="0">
                  <c:v>EFICACIA</c:v>
                </c:pt>
              </c:strCache>
            </c:strRef>
          </c:tx>
          <c:spPr>
            <a:solidFill>
              <a:schemeClr val="accent2"/>
            </a:solidFill>
            <a:ln>
              <a:noFill/>
            </a:ln>
            <a:effectLst/>
            <a:sp3d/>
          </c:spPr>
          <c:invertIfNegative val="0"/>
          <c:dLbls>
            <c:dLbl>
              <c:idx val="3"/>
              <c:layout>
                <c:manualLayout>
                  <c:x val="1.5432098765430968E-3"/>
                  <c:y val="-1.0376133476838073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1-3A04-44FD-BAE5-20C1C18699C4}"/>
                </c:ext>
              </c:extLst>
            </c:dLbl>
            <c:dLbl>
              <c:idx val="4"/>
              <c:layout>
                <c:manualLayout>
                  <c:x val="4.6296296296296294E-3"/>
                  <c:y val="-3.4587111589460245E-3"/>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2-3A04-44FD-BAE5-20C1C18699C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 Trimestre'!$A$3:$A$7</c:f>
              <c:strCache>
                <c:ptCount val="5"/>
                <c:pt idx="0">
                  <c:v>FORMACIÓN</c:v>
                </c:pt>
                <c:pt idx="1">
                  <c:v>INVESTIGACIÓN</c:v>
                </c:pt>
                <c:pt idx="2">
                  <c:v>PROYECCIÓN SOCIAL</c:v>
                </c:pt>
                <c:pt idx="3">
                  <c:v>BIENESTAR UNIVERSITARIO</c:v>
                </c:pt>
                <c:pt idx="4">
                  <c:v>ADMINISTRATIVO</c:v>
                </c:pt>
              </c:strCache>
            </c:strRef>
          </c:cat>
          <c:val>
            <c:numRef>
              <c:f>'2 Trimestre'!$F$3:$F$7</c:f>
              <c:numCache>
                <c:formatCode>0.00%</c:formatCode>
                <c:ptCount val="5"/>
                <c:pt idx="0">
                  <c:v>0.98480000000000012</c:v>
                </c:pt>
                <c:pt idx="1">
                  <c:v>0.82873623295472032</c:v>
                </c:pt>
                <c:pt idx="2">
                  <c:v>0.95507866071428571</c:v>
                </c:pt>
                <c:pt idx="3">
                  <c:v>0.71315241533489715</c:v>
                </c:pt>
                <c:pt idx="4">
                  <c:v>0.86111997732851586</c:v>
                </c:pt>
              </c:numCache>
            </c:numRef>
          </c:val>
          <c:extLst xmlns:c16r2="http://schemas.microsoft.com/office/drawing/2015/06/chart">
            <c:ext xmlns:c16="http://schemas.microsoft.com/office/drawing/2014/chart" uri="{C3380CC4-5D6E-409C-BE32-E72D297353CC}">
              <c16:uniqueId val="{00000003-3A04-44FD-BAE5-20C1C18699C4}"/>
            </c:ext>
          </c:extLst>
        </c:ser>
        <c:ser>
          <c:idx val="2"/>
          <c:order val="2"/>
          <c:tx>
            <c:strRef>
              <c:f>'2 Trimestre'!$G$2</c:f>
              <c:strCache>
                <c:ptCount val="1"/>
                <c:pt idx="0">
                  <c:v>EFECTIVIDAD</c:v>
                </c:pt>
              </c:strCache>
            </c:strRef>
          </c:tx>
          <c:spPr>
            <a:solidFill>
              <a:srgbClr val="00B050"/>
            </a:solidFill>
            <a:ln>
              <a:noFill/>
            </a:ln>
            <a:effectLst/>
            <a:sp3d/>
          </c:spPr>
          <c:invertIfNegative val="0"/>
          <c:dLbls>
            <c:dLbl>
              <c:idx val="3"/>
              <c:layout>
                <c:manualLayout>
                  <c:x val="1.5432098765432098E-3"/>
                  <c:y val="-1.3834844635784067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4-3A04-44FD-BAE5-20C1C18699C4}"/>
                </c:ext>
              </c:extLst>
            </c:dLbl>
            <c:dLbl>
              <c:idx val="4"/>
              <c:layout>
                <c:manualLayout>
                  <c:x val="6.1728395061727828E-3"/>
                  <c:y val="-1.3834844635784129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5-3A04-44FD-BAE5-20C1C18699C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 Trimestre'!$A$3:$A$7</c:f>
              <c:strCache>
                <c:ptCount val="5"/>
                <c:pt idx="0">
                  <c:v>FORMACIÓN</c:v>
                </c:pt>
                <c:pt idx="1">
                  <c:v>INVESTIGACIÓN</c:v>
                </c:pt>
                <c:pt idx="2">
                  <c:v>PROYECCIÓN SOCIAL</c:v>
                </c:pt>
                <c:pt idx="3">
                  <c:v>BIENESTAR UNIVERSITARIO</c:v>
                </c:pt>
                <c:pt idx="4">
                  <c:v>ADMINISTRATIVO</c:v>
                </c:pt>
              </c:strCache>
            </c:strRef>
          </c:cat>
          <c:val>
            <c:numRef>
              <c:f>'2 Trimestre'!$G$3:$G$7</c:f>
              <c:numCache>
                <c:formatCode>0.00%</c:formatCode>
                <c:ptCount val="5"/>
                <c:pt idx="0">
                  <c:v>0.91565867199468631</c:v>
                </c:pt>
                <c:pt idx="1">
                  <c:v>0.75368235675638173</c:v>
                </c:pt>
                <c:pt idx="2">
                  <c:v>0.947721420846241</c:v>
                </c:pt>
                <c:pt idx="3">
                  <c:v>0.83529659681623025</c:v>
                </c:pt>
                <c:pt idx="4">
                  <c:v>0.54258615402855204</c:v>
                </c:pt>
              </c:numCache>
            </c:numRef>
          </c:val>
          <c:extLst xmlns:c16r2="http://schemas.microsoft.com/office/drawing/2015/06/chart">
            <c:ext xmlns:c16="http://schemas.microsoft.com/office/drawing/2014/chart" uri="{C3380CC4-5D6E-409C-BE32-E72D297353CC}">
              <c16:uniqueId val="{00000006-3A04-44FD-BAE5-20C1C18699C4}"/>
            </c:ext>
          </c:extLst>
        </c:ser>
        <c:dLbls>
          <c:showLegendKey val="0"/>
          <c:showVal val="0"/>
          <c:showCatName val="0"/>
          <c:showSerName val="0"/>
          <c:showPercent val="0"/>
          <c:showBubbleSize val="0"/>
        </c:dLbls>
        <c:gapWidth val="48"/>
        <c:gapDepth val="151"/>
        <c:shape val="box"/>
        <c:axId val="41209216"/>
        <c:axId val="41215104"/>
        <c:axId val="0"/>
      </c:bar3DChart>
      <c:catAx>
        <c:axId val="41209216"/>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215104"/>
        <c:crosses val="autoZero"/>
        <c:auto val="1"/>
        <c:lblAlgn val="ctr"/>
        <c:lblOffset val="100"/>
        <c:noMultiLvlLbl val="0"/>
      </c:catAx>
      <c:valAx>
        <c:axId val="4121510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2092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Eficacia por Subsistema 2do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Ejecucion!$E$67</c:f>
              <c:strCache>
                <c:ptCount val="1"/>
                <c:pt idx="0">
                  <c:v>II TRIMESTRE</c:v>
                </c:pt>
              </c:strCache>
            </c:strRef>
          </c:tx>
          <c:spPr>
            <a:solidFill>
              <a:schemeClr val="accent1"/>
            </a:solidFill>
            <a:ln>
              <a:noFill/>
            </a:ln>
            <a:effectLst/>
            <a:sp3d/>
          </c:spPr>
          <c:invertIfNegative val="0"/>
          <c:dPt>
            <c:idx val="0"/>
            <c:invertIfNegative val="0"/>
            <c:bubble3D val="0"/>
            <c:spPr>
              <a:solidFill>
                <a:srgbClr val="8D191D"/>
              </a:solidFill>
              <a:ln>
                <a:noFill/>
              </a:ln>
              <a:effectLst/>
              <a:sp3d/>
            </c:spPr>
            <c:extLst xmlns:c16r2="http://schemas.microsoft.com/office/drawing/2015/06/chart">
              <c:ext xmlns:c16="http://schemas.microsoft.com/office/drawing/2014/chart" uri="{C3380CC4-5D6E-409C-BE32-E72D297353CC}">
                <c16:uniqueId val="{00000001-EAC5-4476-BBBF-88B5D2982B1B}"/>
              </c:ext>
            </c:extLst>
          </c:dPt>
          <c:dPt>
            <c:idx val="1"/>
            <c:invertIfNegative val="0"/>
            <c:bubble3D val="0"/>
            <c:spPr>
              <a:solidFill>
                <a:srgbClr val="00B050"/>
              </a:solidFill>
              <a:ln>
                <a:noFill/>
              </a:ln>
              <a:effectLst/>
              <a:sp3d/>
            </c:spPr>
            <c:extLst xmlns:c16r2="http://schemas.microsoft.com/office/drawing/2015/06/chart">
              <c:ext xmlns:c16="http://schemas.microsoft.com/office/drawing/2014/chart" uri="{C3380CC4-5D6E-409C-BE32-E72D297353CC}">
                <c16:uniqueId val="{00000003-EAC5-4476-BBBF-88B5D2982B1B}"/>
              </c:ext>
            </c:extLst>
          </c:dPt>
          <c:dPt>
            <c:idx val="2"/>
            <c:invertIfNegative val="0"/>
            <c:bubble3D val="0"/>
            <c:spPr>
              <a:solidFill>
                <a:schemeClr val="accent4">
                  <a:lumMod val="75000"/>
                </a:schemeClr>
              </a:solidFill>
              <a:ln>
                <a:noFill/>
              </a:ln>
              <a:effectLst/>
              <a:sp3d/>
            </c:spPr>
            <c:extLst xmlns:c16r2="http://schemas.microsoft.com/office/drawing/2015/06/chart">
              <c:ext xmlns:c16="http://schemas.microsoft.com/office/drawing/2014/chart" uri="{C3380CC4-5D6E-409C-BE32-E72D297353CC}">
                <c16:uniqueId val="{00000005-EAC5-4476-BBBF-88B5D2982B1B}"/>
              </c:ext>
            </c:extLst>
          </c:dPt>
          <c:dPt>
            <c:idx val="4"/>
            <c:invertIfNegative val="0"/>
            <c:bubble3D val="0"/>
            <c:spPr>
              <a:solidFill>
                <a:srgbClr val="FFC000"/>
              </a:solidFill>
              <a:ln>
                <a:noFill/>
              </a:ln>
              <a:effectLst/>
              <a:sp3d/>
            </c:spPr>
            <c:extLst xmlns:c16r2="http://schemas.microsoft.com/office/drawing/2015/06/chart">
              <c:ext xmlns:c16="http://schemas.microsoft.com/office/drawing/2014/chart" uri="{C3380CC4-5D6E-409C-BE32-E72D297353CC}">
                <c16:uniqueId val="{00000007-EAC5-4476-BBBF-88B5D2982B1B}"/>
              </c:ext>
            </c:extLst>
          </c:dPt>
          <c:cat>
            <c:strRef>
              <c:f>Ejecucion!$A$68:$A$72</c:f>
              <c:strCache>
                <c:ptCount val="5"/>
                <c:pt idx="0">
                  <c:v>SUBSISTEMA DE FORMACIÓN</c:v>
                </c:pt>
                <c:pt idx="1">
                  <c:v>SUBSISTEMA DE INVESTIGACIÓN</c:v>
                </c:pt>
                <c:pt idx="2">
                  <c:v>SUBSISTEMA DE PROYECCIÓN SOCIAL</c:v>
                </c:pt>
                <c:pt idx="3">
                  <c:v>SUBSISTEMA DE BIENESTAR UNIVERSITARIO</c:v>
                </c:pt>
                <c:pt idx="4">
                  <c:v>SUBSISTEMA ADMINISTRATIVO</c:v>
                </c:pt>
              </c:strCache>
            </c:strRef>
          </c:cat>
          <c:val>
            <c:numRef>
              <c:f>Ejecucion!$E$68:$E$72</c:f>
              <c:numCache>
                <c:formatCode>0.00%</c:formatCode>
                <c:ptCount val="5"/>
                <c:pt idx="0">
                  <c:v>0.98480000000000012</c:v>
                </c:pt>
                <c:pt idx="1">
                  <c:v>0.82873623295472032</c:v>
                </c:pt>
                <c:pt idx="2">
                  <c:v>0.95507866071428571</c:v>
                </c:pt>
                <c:pt idx="3">
                  <c:v>0.71315241533489715</c:v>
                </c:pt>
                <c:pt idx="4">
                  <c:v>0.86111997732851586</c:v>
                </c:pt>
              </c:numCache>
            </c:numRef>
          </c:val>
          <c:extLst xmlns:c16r2="http://schemas.microsoft.com/office/drawing/2015/06/chart">
            <c:ext xmlns:c16="http://schemas.microsoft.com/office/drawing/2014/chart" uri="{C3380CC4-5D6E-409C-BE32-E72D297353CC}">
              <c16:uniqueId val="{00000008-EAC5-4476-BBBF-88B5D2982B1B}"/>
            </c:ext>
          </c:extLst>
        </c:ser>
        <c:dLbls>
          <c:showLegendKey val="0"/>
          <c:showVal val="0"/>
          <c:showCatName val="0"/>
          <c:showSerName val="0"/>
          <c:showPercent val="0"/>
          <c:showBubbleSize val="0"/>
        </c:dLbls>
        <c:gapWidth val="150"/>
        <c:shape val="box"/>
        <c:axId val="41264256"/>
        <c:axId val="41265792"/>
        <c:axId val="0"/>
      </c:bar3DChart>
      <c:catAx>
        <c:axId val="41264256"/>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265792"/>
        <c:crosses val="autoZero"/>
        <c:auto val="1"/>
        <c:lblAlgn val="ctr"/>
        <c:lblOffset val="100"/>
        <c:noMultiLvlLbl val="0"/>
      </c:catAx>
      <c:valAx>
        <c:axId val="41265792"/>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2642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Eficiencia por Subsistema 2do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Ejecucion!$E$76</c:f>
              <c:strCache>
                <c:ptCount val="1"/>
                <c:pt idx="0">
                  <c:v>II TRIMESTRE</c:v>
                </c:pt>
              </c:strCache>
            </c:strRef>
          </c:tx>
          <c:spPr>
            <a:solidFill>
              <a:schemeClr val="accent1"/>
            </a:solidFill>
            <a:ln>
              <a:noFill/>
            </a:ln>
            <a:effectLst/>
            <a:sp3d/>
          </c:spPr>
          <c:invertIfNegative val="0"/>
          <c:cat>
            <c:strRef>
              <c:f>Ejecucion!$A$77:$A$81</c:f>
              <c:strCache>
                <c:ptCount val="5"/>
                <c:pt idx="0">
                  <c:v>SUBSISTEMA DE FORMACIÓN</c:v>
                </c:pt>
                <c:pt idx="1">
                  <c:v>SUBSISTEMA DE INVESTIGACIÓN</c:v>
                </c:pt>
                <c:pt idx="2">
                  <c:v>SUBSISTEMA DE PROYECCIÓN SOCIAL</c:v>
                </c:pt>
                <c:pt idx="3">
                  <c:v>SUBSISTEMA DE BIENESTAR UNIVERSITARIO</c:v>
                </c:pt>
                <c:pt idx="4">
                  <c:v>SUBSISTEMA ADMINISTRATIVO</c:v>
                </c:pt>
              </c:strCache>
            </c:strRef>
          </c:cat>
          <c:val>
            <c:numRef>
              <c:f>Ejecucion!$E$77:$E$81</c:f>
              <c:numCache>
                <c:formatCode>0.00%</c:formatCode>
                <c:ptCount val="5"/>
                <c:pt idx="0">
                  <c:v>0.84651734398937251</c:v>
                </c:pt>
                <c:pt idx="1">
                  <c:v>0.67862848055804326</c:v>
                </c:pt>
                <c:pt idx="2">
                  <c:v>0.9403641809781963</c:v>
                </c:pt>
                <c:pt idx="3">
                  <c:v>0.95744077829756347</c:v>
                </c:pt>
                <c:pt idx="4">
                  <c:v>0.22405233072858821</c:v>
                </c:pt>
              </c:numCache>
            </c:numRef>
          </c:val>
          <c:extLst xmlns:c16r2="http://schemas.microsoft.com/office/drawing/2015/06/chart">
            <c:ext xmlns:c16="http://schemas.microsoft.com/office/drawing/2014/chart" uri="{C3380CC4-5D6E-409C-BE32-E72D297353CC}">
              <c16:uniqueId val="{00000000-9DE5-4FFD-8502-20FD38D7C6A7}"/>
            </c:ext>
          </c:extLst>
        </c:ser>
        <c:dLbls>
          <c:showLegendKey val="0"/>
          <c:showVal val="0"/>
          <c:showCatName val="0"/>
          <c:showSerName val="0"/>
          <c:showPercent val="0"/>
          <c:showBubbleSize val="0"/>
        </c:dLbls>
        <c:gapWidth val="150"/>
        <c:shape val="box"/>
        <c:axId val="41286656"/>
        <c:axId val="41304832"/>
        <c:axId val="0"/>
      </c:bar3DChart>
      <c:catAx>
        <c:axId val="41286656"/>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304832"/>
        <c:crosses val="autoZero"/>
        <c:auto val="1"/>
        <c:lblAlgn val="ctr"/>
        <c:lblOffset val="100"/>
        <c:noMultiLvlLbl val="0"/>
      </c:catAx>
      <c:valAx>
        <c:axId val="41304832"/>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2866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 Formación </a:t>
            </a:r>
            <a:r>
              <a:rPr lang="es-CO" sz="1400" b="0" i="0" u="none" strike="noStrike" baseline="0">
                <a:effectLst/>
              </a:rPr>
              <a:t>3er</a:t>
            </a:r>
            <a:r>
              <a:rPr lang="es-CO">
                <a:solidFill>
                  <a:sysClr val="windowText" lastClr="000000"/>
                </a:solidFill>
              </a:rPr>
              <a:t> Trimestre 2018</a:t>
            </a:r>
          </a:p>
        </c:rich>
      </c:tx>
      <c:layout/>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Ejecucion!$P$2</c:f>
              <c:strCache>
                <c:ptCount val="1"/>
                <c:pt idx="0">
                  <c:v>EFICIENCIA</c:v>
                </c:pt>
              </c:strCache>
            </c:strRef>
          </c:tx>
          <c:spPr>
            <a:solidFill>
              <a:schemeClr val="accent1"/>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Ejecucion!$Z$3:$Z$9</c:f>
              <c:numCache>
                <c:formatCode>0.00%</c:formatCode>
                <c:ptCount val="7"/>
                <c:pt idx="0">
                  <c:v>0.70321939639123276</c:v>
                </c:pt>
                <c:pt idx="1">
                  <c:v>0.82354119999999997</c:v>
                </c:pt>
                <c:pt idx="2">
                  <c:v>0.85137654250906758</c:v>
                </c:pt>
                <c:pt idx="3">
                  <c:v>0.96603808300317651</c:v>
                </c:pt>
                <c:pt idx="4">
                  <c:v>1</c:v>
                </c:pt>
                <c:pt idx="5">
                  <c:v>0.92797187503398826</c:v>
                </c:pt>
                <c:pt idx="6">
                  <c:v>0.72496860717140588</c:v>
                </c:pt>
              </c:numCache>
            </c:numRef>
          </c:val>
          <c:extLst xmlns:c16r2="http://schemas.microsoft.com/office/drawing/2015/06/chart">
            <c:ext xmlns:c16="http://schemas.microsoft.com/office/drawing/2014/chart" uri="{C3380CC4-5D6E-409C-BE32-E72D297353CC}">
              <c16:uniqueId val="{00000000-71AB-4CA4-8E10-DD525591F395}"/>
            </c:ext>
          </c:extLst>
        </c:ser>
        <c:ser>
          <c:idx val="1"/>
          <c:order val="1"/>
          <c:tx>
            <c:strRef>
              <c:f>Ejecucion!$Q$2</c:f>
              <c:strCache>
                <c:ptCount val="1"/>
                <c:pt idx="0">
                  <c:v>EFICACIA</c:v>
                </c:pt>
              </c:strCache>
            </c:strRef>
          </c:tx>
          <c:spPr>
            <a:solidFill>
              <a:schemeClr val="accent2"/>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Ejecucion!$AA$3:$AA$9</c:f>
              <c:numCache>
                <c:formatCode>0.00%</c:formatCode>
                <c:ptCount val="7"/>
                <c:pt idx="0">
                  <c:v>1</c:v>
                </c:pt>
                <c:pt idx="1">
                  <c:v>1</c:v>
                </c:pt>
                <c:pt idx="2">
                  <c:v>1</c:v>
                </c:pt>
                <c:pt idx="3">
                  <c:v>1</c:v>
                </c:pt>
                <c:pt idx="4">
                  <c:v>1</c:v>
                </c:pt>
                <c:pt idx="5">
                  <c:v>1</c:v>
                </c:pt>
                <c:pt idx="6">
                  <c:v>1</c:v>
                </c:pt>
              </c:numCache>
            </c:numRef>
          </c:val>
          <c:extLst xmlns:c16r2="http://schemas.microsoft.com/office/drawing/2015/06/chart">
            <c:ext xmlns:c16="http://schemas.microsoft.com/office/drawing/2014/chart" uri="{C3380CC4-5D6E-409C-BE32-E72D297353CC}">
              <c16:uniqueId val="{00000001-71AB-4CA4-8E10-DD525591F395}"/>
            </c:ext>
          </c:extLst>
        </c:ser>
        <c:ser>
          <c:idx val="2"/>
          <c:order val="2"/>
          <c:tx>
            <c:strRef>
              <c:f>Ejecucion!$S$2</c:f>
              <c:strCache>
                <c:ptCount val="1"/>
                <c:pt idx="0">
                  <c:v>EFECTIVIDAD</c:v>
                </c:pt>
              </c:strCache>
            </c:strRef>
          </c:tx>
          <c:spPr>
            <a:solidFill>
              <a:schemeClr val="accent3"/>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Ejecucion!$AC$3:$AC$9</c:f>
              <c:numCache>
                <c:formatCode>0.00%</c:formatCode>
                <c:ptCount val="7"/>
                <c:pt idx="0">
                  <c:v>0.85160969819561638</c:v>
                </c:pt>
                <c:pt idx="1">
                  <c:v>0.91177059999999999</c:v>
                </c:pt>
                <c:pt idx="2">
                  <c:v>0.92568827125453379</c:v>
                </c:pt>
                <c:pt idx="3">
                  <c:v>0.98301904150158825</c:v>
                </c:pt>
                <c:pt idx="4">
                  <c:v>1</c:v>
                </c:pt>
                <c:pt idx="5">
                  <c:v>0.96398593751699413</c:v>
                </c:pt>
                <c:pt idx="6">
                  <c:v>0.86248430358570294</c:v>
                </c:pt>
              </c:numCache>
            </c:numRef>
          </c:val>
          <c:extLst xmlns:c16r2="http://schemas.microsoft.com/office/drawing/2015/06/chart">
            <c:ext xmlns:c16="http://schemas.microsoft.com/office/drawing/2014/chart" uri="{C3380CC4-5D6E-409C-BE32-E72D297353CC}">
              <c16:uniqueId val="{00000002-71AB-4CA4-8E10-DD525591F395}"/>
            </c:ext>
          </c:extLst>
        </c:ser>
        <c:dLbls>
          <c:showLegendKey val="0"/>
          <c:showVal val="0"/>
          <c:showCatName val="0"/>
          <c:showSerName val="0"/>
          <c:showPercent val="0"/>
          <c:showBubbleSize val="0"/>
        </c:dLbls>
        <c:gapWidth val="150"/>
        <c:shape val="box"/>
        <c:axId val="41373696"/>
        <c:axId val="41375232"/>
        <c:axId val="0"/>
      </c:bar3DChart>
      <c:catAx>
        <c:axId val="41373696"/>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375232"/>
        <c:crosses val="autoZero"/>
        <c:auto val="1"/>
        <c:lblAlgn val="ctr"/>
        <c:lblOffset val="100"/>
        <c:noMultiLvlLbl val="0"/>
      </c:catAx>
      <c:valAx>
        <c:axId val="41375232"/>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37369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 Investigación </a:t>
            </a:r>
            <a:r>
              <a:rPr lang="es-CO" sz="1400" b="0" i="0" u="none" strike="noStrike" baseline="0">
                <a:effectLst/>
              </a:rPr>
              <a:t>3er</a:t>
            </a:r>
            <a:r>
              <a:rPr lang="es-CO">
                <a:solidFill>
                  <a:sysClr val="windowText" lastClr="000000"/>
                </a:solidFill>
              </a:rPr>
              <a:t> Trimestre 2018</a:t>
            </a:r>
          </a:p>
        </c:rich>
      </c:tx>
      <c:layout/>
      <c:overlay val="0"/>
      <c:spPr>
        <a:noFill/>
        <a:ln>
          <a:noFill/>
        </a:ln>
        <a:effectLst/>
      </c:spPr>
    </c:title>
    <c:autoTitleDeleted val="0"/>
    <c:plotArea>
      <c:layout/>
      <c:barChart>
        <c:barDir val="bar"/>
        <c:grouping val="clustered"/>
        <c:varyColors val="0"/>
        <c:ser>
          <c:idx val="0"/>
          <c:order val="0"/>
          <c:tx>
            <c:strRef>
              <c:f>Ejecucion!$P$14</c:f>
              <c:strCache>
                <c:ptCount val="1"/>
                <c:pt idx="0">
                  <c:v>EFICIENCIA</c:v>
                </c:pt>
              </c:strCache>
            </c:strRef>
          </c:tx>
          <c:spPr>
            <a:solidFill>
              <a:schemeClr val="accent1"/>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Ejecucion!$Z$15:$Z$23</c:f>
              <c:numCache>
                <c:formatCode>0.00%</c:formatCode>
                <c:ptCount val="9"/>
                <c:pt idx="0">
                  <c:v>0.63640473134611397</c:v>
                </c:pt>
                <c:pt idx="1">
                  <c:v>0.81717376222031723</c:v>
                </c:pt>
                <c:pt idx="2">
                  <c:v>0.50436067737198809</c:v>
                </c:pt>
                <c:pt idx="3">
                  <c:v>0.66811033302539735</c:v>
                </c:pt>
                <c:pt idx="4">
                  <c:v>0.61468835581055581</c:v>
                </c:pt>
                <c:pt idx="5">
                  <c:v>1</c:v>
                </c:pt>
                <c:pt idx="6">
                  <c:v>1</c:v>
                </c:pt>
                <c:pt idx="7">
                  <c:v>0.6581059321026469</c:v>
                </c:pt>
                <c:pt idx="8">
                  <c:v>0.96725050955510172</c:v>
                </c:pt>
              </c:numCache>
            </c:numRef>
          </c:val>
          <c:extLst xmlns:c16r2="http://schemas.microsoft.com/office/drawing/2015/06/chart">
            <c:ext xmlns:c16="http://schemas.microsoft.com/office/drawing/2014/chart" uri="{C3380CC4-5D6E-409C-BE32-E72D297353CC}">
              <c16:uniqueId val="{00000000-D2E5-4AC6-B47B-3EA9975017D8}"/>
            </c:ext>
          </c:extLst>
        </c:ser>
        <c:ser>
          <c:idx val="1"/>
          <c:order val="1"/>
          <c:tx>
            <c:strRef>
              <c:f>Ejecucion!$Q$14</c:f>
              <c:strCache>
                <c:ptCount val="1"/>
                <c:pt idx="0">
                  <c:v>EFICACIA</c:v>
                </c:pt>
              </c:strCache>
            </c:strRef>
          </c:tx>
          <c:spPr>
            <a:solidFill>
              <a:schemeClr val="accent2"/>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Ejecucion!$AA$15:$AA$23</c:f>
              <c:numCache>
                <c:formatCode>0.00%</c:formatCode>
                <c:ptCount val="9"/>
                <c:pt idx="0">
                  <c:v>0.93333333333333335</c:v>
                </c:pt>
                <c:pt idx="1">
                  <c:v>0.70657596371882092</c:v>
                </c:pt>
                <c:pt idx="2">
                  <c:v>0.59377777777777774</c:v>
                </c:pt>
                <c:pt idx="3">
                  <c:v>0.41025641025641024</c:v>
                </c:pt>
                <c:pt idx="4">
                  <c:v>0.61111111111111116</c:v>
                </c:pt>
                <c:pt idx="5">
                  <c:v>0.81111066666666676</c:v>
                </c:pt>
                <c:pt idx="6">
                  <c:v>0.93333333333333324</c:v>
                </c:pt>
                <c:pt idx="7">
                  <c:v>1</c:v>
                </c:pt>
                <c:pt idx="8">
                  <c:v>1</c:v>
                </c:pt>
              </c:numCache>
            </c:numRef>
          </c:val>
          <c:extLst xmlns:c16r2="http://schemas.microsoft.com/office/drawing/2015/06/chart">
            <c:ext xmlns:c16="http://schemas.microsoft.com/office/drawing/2014/chart" uri="{C3380CC4-5D6E-409C-BE32-E72D297353CC}">
              <c16:uniqueId val="{00000001-D2E5-4AC6-B47B-3EA9975017D8}"/>
            </c:ext>
          </c:extLst>
        </c:ser>
        <c:ser>
          <c:idx val="2"/>
          <c:order val="2"/>
          <c:tx>
            <c:strRef>
              <c:f>Ejecucion!$S$14</c:f>
              <c:strCache>
                <c:ptCount val="1"/>
                <c:pt idx="0">
                  <c:v>EFECTIVIDAD</c:v>
                </c:pt>
              </c:strCache>
            </c:strRef>
          </c:tx>
          <c:spPr>
            <a:solidFill>
              <a:schemeClr val="accent3"/>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Ejecucion!$AC$15:$AC$23</c:f>
              <c:numCache>
                <c:formatCode>0.00%</c:formatCode>
                <c:ptCount val="9"/>
                <c:pt idx="0">
                  <c:v>0.7848690323397236</c:v>
                </c:pt>
                <c:pt idx="1">
                  <c:v>0.76187486296956908</c:v>
                </c:pt>
                <c:pt idx="2">
                  <c:v>0.54906922757488297</c:v>
                </c:pt>
                <c:pt idx="3">
                  <c:v>0.5391833716409038</c:v>
                </c:pt>
                <c:pt idx="4">
                  <c:v>0.61289973346083348</c:v>
                </c:pt>
                <c:pt idx="5">
                  <c:v>0.90555533333333338</c:v>
                </c:pt>
                <c:pt idx="6">
                  <c:v>0.96666666666666656</c:v>
                </c:pt>
                <c:pt idx="7">
                  <c:v>0.8290529660513235</c:v>
                </c:pt>
                <c:pt idx="8">
                  <c:v>0.98362525477755081</c:v>
                </c:pt>
              </c:numCache>
            </c:numRef>
          </c:val>
          <c:extLst xmlns:c16r2="http://schemas.microsoft.com/office/drawing/2015/06/chart">
            <c:ext xmlns:c16="http://schemas.microsoft.com/office/drawing/2014/chart" uri="{C3380CC4-5D6E-409C-BE32-E72D297353CC}">
              <c16:uniqueId val="{00000002-D2E5-4AC6-B47B-3EA9975017D8}"/>
            </c:ext>
          </c:extLst>
        </c:ser>
        <c:dLbls>
          <c:showLegendKey val="0"/>
          <c:showVal val="0"/>
          <c:showCatName val="0"/>
          <c:showSerName val="0"/>
          <c:showPercent val="0"/>
          <c:showBubbleSize val="0"/>
        </c:dLbls>
        <c:gapWidth val="182"/>
        <c:axId val="41501056"/>
        <c:axId val="41502592"/>
      </c:barChart>
      <c:catAx>
        <c:axId val="4150105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502592"/>
        <c:crosses val="autoZero"/>
        <c:auto val="1"/>
        <c:lblAlgn val="ctr"/>
        <c:lblOffset val="100"/>
        <c:noMultiLvlLbl val="0"/>
      </c:catAx>
      <c:valAx>
        <c:axId val="41502592"/>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50105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a:t>
            </a:r>
            <a:r>
              <a:rPr lang="es-CO" baseline="0">
                <a:solidFill>
                  <a:sysClr val="windowText" lastClr="000000"/>
                </a:solidFill>
              </a:rPr>
              <a:t> Proyección Social </a:t>
            </a:r>
            <a:r>
              <a:rPr lang="es-CO" sz="1400" b="0" i="0" u="none" strike="noStrike" baseline="0">
                <a:effectLst/>
              </a:rPr>
              <a:t>3er</a:t>
            </a:r>
            <a:r>
              <a:rPr lang="es-CO" baseline="0">
                <a:solidFill>
                  <a:sysClr val="windowText" lastClr="000000"/>
                </a:solidFill>
              </a:rPr>
              <a:t> Trimestre 2018</a:t>
            </a:r>
            <a:endParaRPr lang="es-CO">
              <a:solidFill>
                <a:sysClr val="windowText" lastClr="000000"/>
              </a:solidFill>
            </a:endParaRPr>
          </a:p>
        </c:rich>
      </c:tx>
      <c:layout/>
      <c:overlay val="0"/>
      <c:spPr>
        <a:noFill/>
        <a:ln>
          <a:noFill/>
        </a:ln>
        <a:effectLst/>
      </c:spPr>
    </c:title>
    <c:autoTitleDeleted val="0"/>
    <c:plotArea>
      <c:layout/>
      <c:barChart>
        <c:barDir val="bar"/>
        <c:grouping val="clustered"/>
        <c:varyColors val="0"/>
        <c:ser>
          <c:idx val="0"/>
          <c:order val="0"/>
          <c:tx>
            <c:strRef>
              <c:f>Ejecucion!$P$28</c:f>
              <c:strCache>
                <c:ptCount val="1"/>
                <c:pt idx="0">
                  <c:v>EFICIENCIA</c:v>
                </c:pt>
              </c:strCache>
            </c:strRef>
          </c:tx>
          <c:spPr>
            <a:solidFill>
              <a:schemeClr val="accent1"/>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Ejecucion!$Z$29:$Z$36</c:f>
              <c:numCache>
                <c:formatCode>0.00%</c:formatCode>
                <c:ptCount val="8"/>
                <c:pt idx="0">
                  <c:v>0.77344211369959459</c:v>
                </c:pt>
                <c:pt idx="1">
                  <c:v>1</c:v>
                </c:pt>
                <c:pt idx="2">
                  <c:v>0.92731943247616766</c:v>
                </c:pt>
                <c:pt idx="3">
                  <c:v>0.66914570954398611</c:v>
                </c:pt>
                <c:pt idx="4">
                  <c:v>1</c:v>
                </c:pt>
                <c:pt idx="5">
                  <c:v>1</c:v>
                </c:pt>
                <c:pt idx="6">
                  <c:v>0</c:v>
                </c:pt>
                <c:pt idx="7">
                  <c:v>0.94758309238100979</c:v>
                </c:pt>
              </c:numCache>
            </c:numRef>
          </c:val>
          <c:extLst xmlns:c16r2="http://schemas.microsoft.com/office/drawing/2015/06/chart">
            <c:ext xmlns:c16="http://schemas.microsoft.com/office/drawing/2014/chart" uri="{C3380CC4-5D6E-409C-BE32-E72D297353CC}">
              <c16:uniqueId val="{00000000-3D44-4F4A-8B6B-9A1BA0110FFE}"/>
            </c:ext>
          </c:extLst>
        </c:ser>
        <c:ser>
          <c:idx val="1"/>
          <c:order val="1"/>
          <c:tx>
            <c:strRef>
              <c:f>Ejecucion!$Q$28</c:f>
              <c:strCache>
                <c:ptCount val="1"/>
                <c:pt idx="0">
                  <c:v>EFICACIA</c:v>
                </c:pt>
              </c:strCache>
            </c:strRef>
          </c:tx>
          <c:spPr>
            <a:solidFill>
              <a:schemeClr val="accent2"/>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Ejecucion!$AA$29:$AA$36</c:f>
              <c:numCache>
                <c:formatCode>0.00%</c:formatCode>
                <c:ptCount val="8"/>
                <c:pt idx="0">
                  <c:v>1</c:v>
                </c:pt>
                <c:pt idx="1">
                  <c:v>1</c:v>
                </c:pt>
                <c:pt idx="2">
                  <c:v>0.73597883597883584</c:v>
                </c:pt>
                <c:pt idx="3">
                  <c:v>1</c:v>
                </c:pt>
                <c:pt idx="4">
                  <c:v>0.66666666666666663</c:v>
                </c:pt>
                <c:pt idx="5">
                  <c:v>1</c:v>
                </c:pt>
                <c:pt idx="6">
                  <c:v>1</c:v>
                </c:pt>
                <c:pt idx="7">
                  <c:v>1</c:v>
                </c:pt>
              </c:numCache>
            </c:numRef>
          </c:val>
          <c:extLst xmlns:c16r2="http://schemas.microsoft.com/office/drawing/2015/06/chart">
            <c:ext xmlns:c16="http://schemas.microsoft.com/office/drawing/2014/chart" uri="{C3380CC4-5D6E-409C-BE32-E72D297353CC}">
              <c16:uniqueId val="{00000001-3D44-4F4A-8B6B-9A1BA0110FFE}"/>
            </c:ext>
          </c:extLst>
        </c:ser>
        <c:ser>
          <c:idx val="2"/>
          <c:order val="2"/>
          <c:tx>
            <c:strRef>
              <c:f>Ejecucion!$S$28</c:f>
              <c:strCache>
                <c:ptCount val="1"/>
                <c:pt idx="0">
                  <c:v>EFECTIVIDAD</c:v>
                </c:pt>
              </c:strCache>
            </c:strRef>
          </c:tx>
          <c:spPr>
            <a:solidFill>
              <a:schemeClr val="accent3"/>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Ejecucion!$AC$29:$AC$36</c:f>
              <c:numCache>
                <c:formatCode>0.00%</c:formatCode>
                <c:ptCount val="8"/>
                <c:pt idx="0">
                  <c:v>0.8867210568497973</c:v>
                </c:pt>
                <c:pt idx="1">
                  <c:v>1</c:v>
                </c:pt>
                <c:pt idx="2">
                  <c:v>0.83164913422750175</c:v>
                </c:pt>
                <c:pt idx="3">
                  <c:v>0.83457285477199306</c:v>
                </c:pt>
                <c:pt idx="4">
                  <c:v>0.83333333333333326</c:v>
                </c:pt>
                <c:pt idx="5">
                  <c:v>1</c:v>
                </c:pt>
                <c:pt idx="6">
                  <c:v>0.5</c:v>
                </c:pt>
                <c:pt idx="7">
                  <c:v>0.9737915461905049</c:v>
                </c:pt>
              </c:numCache>
            </c:numRef>
          </c:val>
          <c:extLst xmlns:c16r2="http://schemas.microsoft.com/office/drawing/2015/06/chart">
            <c:ext xmlns:c16="http://schemas.microsoft.com/office/drawing/2014/chart" uri="{C3380CC4-5D6E-409C-BE32-E72D297353CC}">
              <c16:uniqueId val="{00000002-3D44-4F4A-8B6B-9A1BA0110FFE}"/>
            </c:ext>
          </c:extLst>
        </c:ser>
        <c:dLbls>
          <c:showLegendKey val="0"/>
          <c:showVal val="0"/>
          <c:showCatName val="0"/>
          <c:showSerName val="0"/>
          <c:showPercent val="0"/>
          <c:showBubbleSize val="0"/>
        </c:dLbls>
        <c:gapWidth val="182"/>
        <c:axId val="41542400"/>
        <c:axId val="41543936"/>
      </c:barChart>
      <c:catAx>
        <c:axId val="4154240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543936"/>
        <c:crosses val="autoZero"/>
        <c:auto val="1"/>
        <c:lblAlgn val="ctr"/>
        <c:lblOffset val="100"/>
        <c:noMultiLvlLbl val="0"/>
      </c:catAx>
      <c:valAx>
        <c:axId val="41543936"/>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542400"/>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 Investigación 1er Trimestre 2018</a:t>
            </a:r>
          </a:p>
        </c:rich>
      </c:tx>
      <c:overlay val="0"/>
      <c:spPr>
        <a:noFill/>
        <a:ln>
          <a:noFill/>
        </a:ln>
        <a:effectLst/>
      </c:spPr>
    </c:title>
    <c:autoTitleDeleted val="0"/>
    <c:plotArea>
      <c:layout/>
      <c:barChart>
        <c:barDir val="bar"/>
        <c:grouping val="clustered"/>
        <c:varyColors val="0"/>
        <c:ser>
          <c:idx val="0"/>
          <c:order val="0"/>
          <c:tx>
            <c:strRef>
              <c:f>Ejecucion!$F$14</c:f>
              <c:strCache>
                <c:ptCount val="1"/>
                <c:pt idx="0">
                  <c:v>EFICIENCIA</c:v>
                </c:pt>
              </c:strCache>
            </c:strRef>
          </c:tx>
          <c:spPr>
            <a:solidFill>
              <a:schemeClr val="accent1"/>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Ejecucion!$F$15:$F$23</c:f>
              <c:numCache>
                <c:formatCode>0.00%</c:formatCode>
                <c:ptCount val="9"/>
                <c:pt idx="0">
                  <c:v>0.85102977930347201</c:v>
                </c:pt>
                <c:pt idx="1">
                  <c:v>0.88901643264947017</c:v>
                </c:pt>
                <c:pt idx="2">
                  <c:v>0.16242327876530441</c:v>
                </c:pt>
                <c:pt idx="3">
                  <c:v>9.9991667194414353E-10</c:v>
                </c:pt>
                <c:pt idx="4">
                  <c:v>0.55175312203222826</c:v>
                </c:pt>
                <c:pt idx="5">
                  <c:v>3.2000000000000002E-8</c:v>
                </c:pt>
                <c:pt idx="6">
                  <c:v>2.0000000000000002E-7</c:v>
                </c:pt>
                <c:pt idx="7">
                  <c:v>0.54986586873653365</c:v>
                </c:pt>
                <c:pt idx="8">
                  <c:v>0.90121773359511204</c:v>
                </c:pt>
              </c:numCache>
            </c:numRef>
          </c:val>
          <c:extLst xmlns:c16r2="http://schemas.microsoft.com/office/drawing/2015/06/chart">
            <c:ext xmlns:c16="http://schemas.microsoft.com/office/drawing/2014/chart" uri="{C3380CC4-5D6E-409C-BE32-E72D297353CC}">
              <c16:uniqueId val="{00000000-F284-4768-B5AB-0044A2ED2D02}"/>
            </c:ext>
          </c:extLst>
        </c:ser>
        <c:ser>
          <c:idx val="1"/>
          <c:order val="1"/>
          <c:tx>
            <c:strRef>
              <c:f>Ejecucion!$G$14</c:f>
              <c:strCache>
                <c:ptCount val="1"/>
                <c:pt idx="0">
                  <c:v>EFICACIA</c:v>
                </c:pt>
              </c:strCache>
            </c:strRef>
          </c:tx>
          <c:spPr>
            <a:solidFill>
              <a:schemeClr val="accent2"/>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Ejecucion!$G$15:$G$23</c:f>
              <c:numCache>
                <c:formatCode>0.00%</c:formatCode>
                <c:ptCount val="9"/>
                <c:pt idx="0">
                  <c:v>0.85000000000000009</c:v>
                </c:pt>
                <c:pt idx="1">
                  <c:v>0.81088435374149659</c:v>
                </c:pt>
                <c:pt idx="2">
                  <c:v>0.56799999999999995</c:v>
                </c:pt>
                <c:pt idx="3">
                  <c:v>0.30769230769230771</c:v>
                </c:pt>
                <c:pt idx="4">
                  <c:v>0.52</c:v>
                </c:pt>
                <c:pt idx="5">
                  <c:v>1</c:v>
                </c:pt>
                <c:pt idx="6">
                  <c:v>0.4</c:v>
                </c:pt>
                <c:pt idx="7">
                  <c:v>0.6133333333333334</c:v>
                </c:pt>
                <c:pt idx="8">
                  <c:v>0.66359607843137258</c:v>
                </c:pt>
              </c:numCache>
            </c:numRef>
          </c:val>
          <c:extLst xmlns:c16r2="http://schemas.microsoft.com/office/drawing/2015/06/chart">
            <c:ext xmlns:c16="http://schemas.microsoft.com/office/drawing/2014/chart" uri="{C3380CC4-5D6E-409C-BE32-E72D297353CC}">
              <c16:uniqueId val="{00000001-F284-4768-B5AB-0044A2ED2D02}"/>
            </c:ext>
          </c:extLst>
        </c:ser>
        <c:ser>
          <c:idx val="2"/>
          <c:order val="2"/>
          <c:tx>
            <c:strRef>
              <c:f>Ejecucion!$I$14</c:f>
              <c:strCache>
                <c:ptCount val="1"/>
                <c:pt idx="0">
                  <c:v>EFECTIVIDAD</c:v>
                </c:pt>
              </c:strCache>
            </c:strRef>
          </c:tx>
          <c:spPr>
            <a:solidFill>
              <a:schemeClr val="accent3"/>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Ejecucion!$I$15:$I$23</c:f>
              <c:numCache>
                <c:formatCode>0.00%</c:formatCode>
                <c:ptCount val="9"/>
                <c:pt idx="0">
                  <c:v>0.85051488965173605</c:v>
                </c:pt>
                <c:pt idx="1">
                  <c:v>0.84995039319548338</c:v>
                </c:pt>
                <c:pt idx="2">
                  <c:v>0.36521163938265216</c:v>
                </c:pt>
                <c:pt idx="3">
                  <c:v>0.15384615434611218</c:v>
                </c:pt>
                <c:pt idx="4">
                  <c:v>0.53587656101611414</c:v>
                </c:pt>
                <c:pt idx="5">
                  <c:v>0.50000001599999999</c:v>
                </c:pt>
                <c:pt idx="6">
                  <c:v>0.20000010000000001</c:v>
                </c:pt>
                <c:pt idx="7">
                  <c:v>0.58159960103493358</c:v>
                </c:pt>
                <c:pt idx="8">
                  <c:v>0.78240690601324236</c:v>
                </c:pt>
              </c:numCache>
            </c:numRef>
          </c:val>
          <c:extLst xmlns:c16r2="http://schemas.microsoft.com/office/drawing/2015/06/chart">
            <c:ext xmlns:c16="http://schemas.microsoft.com/office/drawing/2014/chart" uri="{C3380CC4-5D6E-409C-BE32-E72D297353CC}">
              <c16:uniqueId val="{00000002-F284-4768-B5AB-0044A2ED2D02}"/>
            </c:ext>
          </c:extLst>
        </c:ser>
        <c:dLbls>
          <c:showLegendKey val="0"/>
          <c:showVal val="0"/>
          <c:showCatName val="0"/>
          <c:showSerName val="0"/>
          <c:showPercent val="0"/>
          <c:showBubbleSize val="0"/>
        </c:dLbls>
        <c:gapWidth val="182"/>
        <c:axId val="101638528"/>
        <c:axId val="101640064"/>
      </c:barChart>
      <c:catAx>
        <c:axId val="10163852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1640064"/>
        <c:crosses val="autoZero"/>
        <c:auto val="1"/>
        <c:lblAlgn val="ctr"/>
        <c:lblOffset val="100"/>
        <c:noMultiLvlLbl val="0"/>
      </c:catAx>
      <c:valAx>
        <c:axId val="10164006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16385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Bienestar Universitario </a:t>
            </a:r>
            <a:r>
              <a:rPr lang="es-CO" sz="1400" b="0" i="0" u="none" strike="noStrike" baseline="0">
                <a:effectLst/>
              </a:rPr>
              <a:t>3er</a:t>
            </a:r>
            <a:r>
              <a:rPr lang="es-CO">
                <a:solidFill>
                  <a:sysClr val="windowText" lastClr="000000"/>
                </a:solidFill>
              </a:rPr>
              <a:t> Trimestre 2018</a:t>
            </a:r>
          </a:p>
        </c:rich>
      </c:tx>
      <c:layout/>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Ejecucion!$P$41</c:f>
              <c:strCache>
                <c:ptCount val="1"/>
                <c:pt idx="0">
                  <c:v>EFICIENCIA</c:v>
                </c:pt>
              </c:strCache>
            </c:strRef>
          </c:tx>
          <c:spPr>
            <a:solidFill>
              <a:schemeClr val="accent1"/>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Ejecucion!$Z$42:$Z$48</c:f>
              <c:numCache>
                <c:formatCode>0.00%</c:formatCode>
                <c:ptCount val="7"/>
                <c:pt idx="0">
                  <c:v>1</c:v>
                </c:pt>
                <c:pt idx="1">
                  <c:v>1</c:v>
                </c:pt>
                <c:pt idx="2">
                  <c:v>1</c:v>
                </c:pt>
                <c:pt idx="3">
                  <c:v>0.51499252071944746</c:v>
                </c:pt>
                <c:pt idx="4">
                  <c:v>1</c:v>
                </c:pt>
                <c:pt idx="5">
                  <c:v>1</c:v>
                </c:pt>
                <c:pt idx="6">
                  <c:v>1</c:v>
                </c:pt>
              </c:numCache>
            </c:numRef>
          </c:val>
          <c:extLst xmlns:c16r2="http://schemas.microsoft.com/office/drawing/2015/06/chart">
            <c:ext xmlns:c16="http://schemas.microsoft.com/office/drawing/2014/chart" uri="{C3380CC4-5D6E-409C-BE32-E72D297353CC}">
              <c16:uniqueId val="{00000000-259D-46CE-A308-8E608B97B094}"/>
            </c:ext>
          </c:extLst>
        </c:ser>
        <c:ser>
          <c:idx val="1"/>
          <c:order val="1"/>
          <c:tx>
            <c:strRef>
              <c:f>Ejecucion!$Q$41</c:f>
              <c:strCache>
                <c:ptCount val="1"/>
                <c:pt idx="0">
                  <c:v>EFICACIA</c:v>
                </c:pt>
              </c:strCache>
            </c:strRef>
          </c:tx>
          <c:spPr>
            <a:solidFill>
              <a:schemeClr val="accent2"/>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Ejecucion!$AA$42:$AA$48</c:f>
              <c:numCache>
                <c:formatCode>0.00%</c:formatCode>
                <c:ptCount val="7"/>
                <c:pt idx="0">
                  <c:v>0.80896908910191634</c:v>
                </c:pt>
                <c:pt idx="1">
                  <c:v>1</c:v>
                </c:pt>
                <c:pt idx="2">
                  <c:v>1</c:v>
                </c:pt>
                <c:pt idx="3">
                  <c:v>0.48888888888888887</c:v>
                </c:pt>
                <c:pt idx="4">
                  <c:v>0.93423701636131484</c:v>
                </c:pt>
                <c:pt idx="5">
                  <c:v>0.53333333333333333</c:v>
                </c:pt>
                <c:pt idx="6">
                  <c:v>0.91837037037037028</c:v>
                </c:pt>
              </c:numCache>
            </c:numRef>
          </c:val>
          <c:extLst xmlns:c16r2="http://schemas.microsoft.com/office/drawing/2015/06/chart">
            <c:ext xmlns:c16="http://schemas.microsoft.com/office/drawing/2014/chart" uri="{C3380CC4-5D6E-409C-BE32-E72D297353CC}">
              <c16:uniqueId val="{00000001-259D-46CE-A308-8E608B97B094}"/>
            </c:ext>
          </c:extLst>
        </c:ser>
        <c:ser>
          <c:idx val="2"/>
          <c:order val="2"/>
          <c:tx>
            <c:strRef>
              <c:f>Ejecucion!$S$41</c:f>
              <c:strCache>
                <c:ptCount val="1"/>
                <c:pt idx="0">
                  <c:v>EFECTIVIDAD</c:v>
                </c:pt>
              </c:strCache>
            </c:strRef>
          </c:tx>
          <c:spPr>
            <a:solidFill>
              <a:srgbClr val="00B050"/>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Ejecucion!$AC$42:$AC$48</c:f>
              <c:numCache>
                <c:formatCode>0.00%</c:formatCode>
                <c:ptCount val="7"/>
                <c:pt idx="0">
                  <c:v>0.90448454455095817</c:v>
                </c:pt>
                <c:pt idx="1">
                  <c:v>1</c:v>
                </c:pt>
                <c:pt idx="2">
                  <c:v>1</c:v>
                </c:pt>
                <c:pt idx="3">
                  <c:v>0.50194070480416819</c:v>
                </c:pt>
                <c:pt idx="4">
                  <c:v>0.96711850818065748</c:v>
                </c:pt>
                <c:pt idx="5">
                  <c:v>0.76666666666666661</c:v>
                </c:pt>
                <c:pt idx="6">
                  <c:v>0.95918518518518514</c:v>
                </c:pt>
              </c:numCache>
            </c:numRef>
          </c:val>
          <c:extLst xmlns:c16r2="http://schemas.microsoft.com/office/drawing/2015/06/chart">
            <c:ext xmlns:c16="http://schemas.microsoft.com/office/drawing/2014/chart" uri="{C3380CC4-5D6E-409C-BE32-E72D297353CC}">
              <c16:uniqueId val="{00000002-259D-46CE-A308-8E608B97B094}"/>
            </c:ext>
          </c:extLst>
        </c:ser>
        <c:dLbls>
          <c:showLegendKey val="0"/>
          <c:showVal val="0"/>
          <c:showCatName val="0"/>
          <c:showSerName val="0"/>
          <c:showPercent val="0"/>
          <c:showBubbleSize val="0"/>
        </c:dLbls>
        <c:gapWidth val="150"/>
        <c:shape val="box"/>
        <c:axId val="41588224"/>
        <c:axId val="41589760"/>
        <c:axId val="0"/>
      </c:bar3DChart>
      <c:catAx>
        <c:axId val="41588224"/>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589760"/>
        <c:crosses val="autoZero"/>
        <c:auto val="1"/>
        <c:lblAlgn val="ctr"/>
        <c:lblOffset val="100"/>
        <c:noMultiLvlLbl val="0"/>
      </c:catAx>
      <c:valAx>
        <c:axId val="41589760"/>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58822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Administrativo </a:t>
            </a:r>
            <a:r>
              <a:rPr lang="es-CO" sz="1400" b="0" i="0" u="none" strike="noStrike" baseline="0">
                <a:effectLst/>
              </a:rPr>
              <a:t>3er</a:t>
            </a:r>
            <a:r>
              <a:rPr lang="es-CO" baseline="0">
                <a:solidFill>
                  <a:sysClr val="windowText" lastClr="000000"/>
                </a:solidFill>
              </a:rPr>
              <a:t> Trimestre 2018</a:t>
            </a:r>
            <a:endParaRPr lang="es-CO">
              <a:solidFill>
                <a:sysClr val="windowText" lastClr="000000"/>
              </a:solidFill>
            </a:endParaRPr>
          </a:p>
        </c:rich>
      </c:tx>
      <c:layout/>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Ejecucion!$P$53</c:f>
              <c:strCache>
                <c:ptCount val="1"/>
                <c:pt idx="0">
                  <c:v>EFICIENCIA</c:v>
                </c:pt>
              </c:strCache>
            </c:strRef>
          </c:tx>
          <c:spPr>
            <a:solidFill>
              <a:schemeClr val="accent1"/>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(Ejecucion!$Z$54,Ejecucion!$Z$55,Ejecucion!$Z$56,Ejecucion!$Z$58,Ejecucion!$Z$60)</c:f>
              <c:numCache>
                <c:formatCode>0.00%</c:formatCode>
                <c:ptCount val="4"/>
                <c:pt idx="0">
                  <c:v>0</c:v>
                </c:pt>
                <c:pt idx="1">
                  <c:v>0.21475723976348043</c:v>
                </c:pt>
                <c:pt idx="2">
                  <c:v>0.97018544748766133</c:v>
                </c:pt>
                <c:pt idx="3">
                  <c:v>1</c:v>
                </c:pt>
              </c:numCache>
            </c:numRef>
          </c:val>
          <c:extLst xmlns:c16r2="http://schemas.microsoft.com/office/drawing/2015/06/chart">
            <c:ext xmlns:c16="http://schemas.microsoft.com/office/drawing/2014/chart" uri="{C3380CC4-5D6E-409C-BE32-E72D297353CC}">
              <c16:uniqueId val="{00000000-8A5A-436C-B0DE-15E845584270}"/>
            </c:ext>
          </c:extLst>
        </c:ser>
        <c:ser>
          <c:idx val="1"/>
          <c:order val="1"/>
          <c:tx>
            <c:strRef>
              <c:f>Ejecucion!$Q$53</c:f>
              <c:strCache>
                <c:ptCount val="1"/>
                <c:pt idx="0">
                  <c:v>EFICACIA</c:v>
                </c:pt>
              </c:strCache>
            </c:strRef>
          </c:tx>
          <c:spPr>
            <a:solidFill>
              <a:schemeClr val="accent2"/>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(Ejecucion!$AA$54,Ejecucion!$AA$55,Ejecucion!$AA$56,Ejecucion!$AA$58,Ejecucion!$AA$60)</c:f>
              <c:numCache>
                <c:formatCode>0.00%</c:formatCode>
                <c:ptCount val="4"/>
                <c:pt idx="0">
                  <c:v>1</c:v>
                </c:pt>
                <c:pt idx="1">
                  <c:v>0.66787535451176305</c:v>
                </c:pt>
                <c:pt idx="2">
                  <c:v>1</c:v>
                </c:pt>
                <c:pt idx="3">
                  <c:v>1</c:v>
                </c:pt>
              </c:numCache>
            </c:numRef>
          </c:val>
          <c:extLst xmlns:c16r2="http://schemas.microsoft.com/office/drawing/2015/06/chart">
            <c:ext xmlns:c16="http://schemas.microsoft.com/office/drawing/2014/chart" uri="{C3380CC4-5D6E-409C-BE32-E72D297353CC}">
              <c16:uniqueId val="{00000001-8A5A-436C-B0DE-15E845584270}"/>
            </c:ext>
          </c:extLst>
        </c:ser>
        <c:ser>
          <c:idx val="2"/>
          <c:order val="2"/>
          <c:tx>
            <c:strRef>
              <c:f>Ejecucion!$S$53</c:f>
              <c:strCache>
                <c:ptCount val="1"/>
                <c:pt idx="0">
                  <c:v>EFECTIVIDAD</c:v>
                </c:pt>
              </c:strCache>
            </c:strRef>
          </c:tx>
          <c:spPr>
            <a:solidFill>
              <a:schemeClr val="accent3"/>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(Ejecucion!$AC$54,Ejecucion!$AC$55,Ejecucion!$AC$56,Ejecucion!$AC$58,Ejecucion!$AC$60)</c:f>
              <c:numCache>
                <c:formatCode>0.00%</c:formatCode>
                <c:ptCount val="4"/>
                <c:pt idx="0">
                  <c:v>0.5</c:v>
                </c:pt>
                <c:pt idx="1">
                  <c:v>0.44131629713762177</c:v>
                </c:pt>
                <c:pt idx="2">
                  <c:v>0.98509272374383072</c:v>
                </c:pt>
                <c:pt idx="3">
                  <c:v>1</c:v>
                </c:pt>
              </c:numCache>
            </c:numRef>
          </c:val>
          <c:extLst xmlns:c16r2="http://schemas.microsoft.com/office/drawing/2015/06/chart">
            <c:ext xmlns:c16="http://schemas.microsoft.com/office/drawing/2014/chart" uri="{C3380CC4-5D6E-409C-BE32-E72D297353CC}">
              <c16:uniqueId val="{00000002-8A5A-436C-B0DE-15E845584270}"/>
            </c:ext>
          </c:extLst>
        </c:ser>
        <c:dLbls>
          <c:showLegendKey val="0"/>
          <c:showVal val="0"/>
          <c:showCatName val="0"/>
          <c:showSerName val="0"/>
          <c:showPercent val="0"/>
          <c:showBubbleSize val="0"/>
        </c:dLbls>
        <c:gapWidth val="150"/>
        <c:shape val="box"/>
        <c:axId val="41638144"/>
        <c:axId val="41644032"/>
        <c:axId val="0"/>
      </c:bar3DChart>
      <c:catAx>
        <c:axId val="41638144"/>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644032"/>
        <c:crosses val="autoZero"/>
        <c:auto val="1"/>
        <c:lblAlgn val="ctr"/>
        <c:lblOffset val="100"/>
        <c:noMultiLvlLbl val="0"/>
      </c:catAx>
      <c:valAx>
        <c:axId val="41644032"/>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63814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Plan Desarrollo 3er Trimestre 2018</a:t>
            </a:r>
          </a:p>
        </c:rich>
      </c:tx>
      <c:layout/>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'3 Trimestre'!$E$2</c:f>
              <c:strCache>
                <c:ptCount val="1"/>
                <c:pt idx="0">
                  <c:v>EFICIENCIA</c:v>
                </c:pt>
              </c:strCache>
            </c:strRef>
          </c:tx>
          <c:spPr>
            <a:solidFill>
              <a:schemeClr val="accent1"/>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Trimestre'!$A$3:$A$7</c:f>
              <c:strCache>
                <c:ptCount val="5"/>
                <c:pt idx="0">
                  <c:v>FORMACIÓN</c:v>
                </c:pt>
                <c:pt idx="1">
                  <c:v>INVESTIGACIÓN</c:v>
                </c:pt>
                <c:pt idx="2">
                  <c:v>PROYECCIÓN SOCIAL</c:v>
                </c:pt>
                <c:pt idx="3">
                  <c:v>BIENESTAR UNIVERSITARIO</c:v>
                </c:pt>
                <c:pt idx="4">
                  <c:v>ADMINISTRATIVO</c:v>
                </c:pt>
              </c:strCache>
            </c:strRef>
          </c:cat>
          <c:val>
            <c:numRef>
              <c:f>'3 Trimestre'!$E$3:$E$7</c:f>
              <c:numCache>
                <c:formatCode>0.00%</c:formatCode>
                <c:ptCount val="5"/>
                <c:pt idx="0">
                  <c:v>0.88455084736707512</c:v>
                </c:pt>
                <c:pt idx="1">
                  <c:v>0.66607072068904838</c:v>
                </c:pt>
                <c:pt idx="2">
                  <c:v>0.91613617712311779</c:v>
                </c:pt>
                <c:pt idx="3">
                  <c:v>0.98524716069465912</c:v>
                </c:pt>
                <c:pt idx="4">
                  <c:v>0.24019979458551369</c:v>
                </c:pt>
              </c:numCache>
            </c:numRef>
          </c:val>
          <c:extLst xmlns:c16r2="http://schemas.microsoft.com/office/drawing/2015/06/chart">
            <c:ext xmlns:c16="http://schemas.microsoft.com/office/drawing/2014/chart" uri="{C3380CC4-5D6E-409C-BE32-E72D297353CC}">
              <c16:uniqueId val="{00000000-3A04-44FD-BAE5-20C1C18699C4}"/>
            </c:ext>
          </c:extLst>
        </c:ser>
        <c:ser>
          <c:idx val="1"/>
          <c:order val="1"/>
          <c:tx>
            <c:strRef>
              <c:f>'3 Trimestre'!$F$2</c:f>
              <c:strCache>
                <c:ptCount val="1"/>
                <c:pt idx="0">
                  <c:v>EFICACIA</c:v>
                </c:pt>
              </c:strCache>
            </c:strRef>
          </c:tx>
          <c:spPr>
            <a:solidFill>
              <a:schemeClr val="accent2"/>
            </a:solidFill>
            <a:ln>
              <a:noFill/>
            </a:ln>
            <a:effectLst/>
            <a:sp3d/>
          </c:spPr>
          <c:invertIfNegative val="0"/>
          <c:dLbls>
            <c:dLbl>
              <c:idx val="3"/>
              <c:layout>
                <c:manualLayout>
                  <c:x val="1.5432098765430968E-3"/>
                  <c:y val="-1.0376133476838073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1-3A04-44FD-BAE5-20C1C18699C4}"/>
                </c:ext>
              </c:extLst>
            </c:dLbl>
            <c:dLbl>
              <c:idx val="4"/>
              <c:layout>
                <c:manualLayout>
                  <c:x val="4.6296296296296294E-3"/>
                  <c:y val="-3.4587111589460245E-3"/>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2-3A04-44FD-BAE5-20C1C18699C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Trimestre'!$A$3:$A$7</c:f>
              <c:strCache>
                <c:ptCount val="5"/>
                <c:pt idx="0">
                  <c:v>FORMACIÓN</c:v>
                </c:pt>
                <c:pt idx="1">
                  <c:v>INVESTIGACIÓN</c:v>
                </c:pt>
                <c:pt idx="2">
                  <c:v>PROYECCIÓN SOCIAL</c:v>
                </c:pt>
                <c:pt idx="3">
                  <c:v>BIENESTAR UNIVERSITARIO</c:v>
                </c:pt>
                <c:pt idx="4">
                  <c:v>ADMINISTRATIVO</c:v>
                </c:pt>
              </c:strCache>
            </c:strRef>
          </c:cat>
          <c:val>
            <c:numRef>
              <c:f>'3 Trimestre'!$F$3:$F$7</c:f>
              <c:numCache>
                <c:formatCode>0.00%</c:formatCode>
                <c:ptCount val="5"/>
                <c:pt idx="0">
                  <c:v>1</c:v>
                </c:pt>
                <c:pt idx="1">
                  <c:v>0.77772206624416151</c:v>
                </c:pt>
                <c:pt idx="2">
                  <c:v>0.92533068783068784</c:v>
                </c:pt>
                <c:pt idx="3">
                  <c:v>0.81197124257940334</c:v>
                </c:pt>
                <c:pt idx="4">
                  <c:v>0.91696883862794076</c:v>
                </c:pt>
              </c:numCache>
            </c:numRef>
          </c:val>
          <c:extLst xmlns:c16r2="http://schemas.microsoft.com/office/drawing/2015/06/chart">
            <c:ext xmlns:c16="http://schemas.microsoft.com/office/drawing/2014/chart" uri="{C3380CC4-5D6E-409C-BE32-E72D297353CC}">
              <c16:uniqueId val="{00000003-3A04-44FD-BAE5-20C1C18699C4}"/>
            </c:ext>
          </c:extLst>
        </c:ser>
        <c:ser>
          <c:idx val="2"/>
          <c:order val="2"/>
          <c:tx>
            <c:strRef>
              <c:f>'3 Trimestre'!$G$2</c:f>
              <c:strCache>
                <c:ptCount val="1"/>
                <c:pt idx="0">
                  <c:v>EFECTIVIDAD</c:v>
                </c:pt>
              </c:strCache>
            </c:strRef>
          </c:tx>
          <c:spPr>
            <a:solidFill>
              <a:srgbClr val="00B050"/>
            </a:solidFill>
            <a:ln>
              <a:noFill/>
            </a:ln>
            <a:effectLst/>
            <a:sp3d/>
          </c:spPr>
          <c:invertIfNegative val="0"/>
          <c:dLbls>
            <c:dLbl>
              <c:idx val="3"/>
              <c:layout>
                <c:manualLayout>
                  <c:x val="1.5432098765432098E-3"/>
                  <c:y val="-1.3834844635784067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4-3A04-44FD-BAE5-20C1C18699C4}"/>
                </c:ext>
              </c:extLst>
            </c:dLbl>
            <c:dLbl>
              <c:idx val="4"/>
              <c:layout>
                <c:manualLayout>
                  <c:x val="6.1728395061727828E-3"/>
                  <c:y val="-1.3834844635784129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5-3A04-44FD-BAE5-20C1C18699C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Trimestre'!$A$3:$A$7</c:f>
              <c:strCache>
                <c:ptCount val="5"/>
                <c:pt idx="0">
                  <c:v>FORMACIÓN</c:v>
                </c:pt>
                <c:pt idx="1">
                  <c:v>INVESTIGACIÓN</c:v>
                </c:pt>
                <c:pt idx="2">
                  <c:v>PROYECCIÓN SOCIAL</c:v>
                </c:pt>
                <c:pt idx="3">
                  <c:v>BIENESTAR UNIVERSITARIO</c:v>
                </c:pt>
                <c:pt idx="4">
                  <c:v>ADMINISTRATIVO</c:v>
                </c:pt>
              </c:strCache>
            </c:strRef>
          </c:cat>
          <c:val>
            <c:numRef>
              <c:f>'3 Trimestre'!$G$3:$G$7</c:f>
              <c:numCache>
                <c:formatCode>0.00%</c:formatCode>
                <c:ptCount val="5"/>
                <c:pt idx="0">
                  <c:v>0.94227542368353756</c:v>
                </c:pt>
                <c:pt idx="1">
                  <c:v>0.72189639346660495</c:v>
                </c:pt>
                <c:pt idx="2">
                  <c:v>0.92073343247690276</c:v>
                </c:pt>
                <c:pt idx="3">
                  <c:v>0.89860920163703129</c:v>
                </c:pt>
                <c:pt idx="4">
                  <c:v>0.57858431660672727</c:v>
                </c:pt>
              </c:numCache>
            </c:numRef>
          </c:val>
          <c:extLst xmlns:c16r2="http://schemas.microsoft.com/office/drawing/2015/06/chart">
            <c:ext xmlns:c16="http://schemas.microsoft.com/office/drawing/2014/chart" uri="{C3380CC4-5D6E-409C-BE32-E72D297353CC}">
              <c16:uniqueId val="{00000006-3A04-44FD-BAE5-20C1C18699C4}"/>
            </c:ext>
          </c:extLst>
        </c:ser>
        <c:dLbls>
          <c:showLegendKey val="0"/>
          <c:showVal val="0"/>
          <c:showCatName val="0"/>
          <c:showSerName val="0"/>
          <c:showPercent val="0"/>
          <c:showBubbleSize val="0"/>
        </c:dLbls>
        <c:gapWidth val="48"/>
        <c:gapDepth val="151"/>
        <c:shape val="box"/>
        <c:axId val="41769216"/>
        <c:axId val="41791488"/>
        <c:axId val="0"/>
      </c:bar3DChart>
      <c:catAx>
        <c:axId val="41769216"/>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791488"/>
        <c:crosses val="autoZero"/>
        <c:auto val="1"/>
        <c:lblAlgn val="ctr"/>
        <c:lblOffset val="100"/>
        <c:noMultiLvlLbl val="0"/>
      </c:catAx>
      <c:valAx>
        <c:axId val="41791488"/>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76921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Eficacia por Subsistema </a:t>
            </a:r>
            <a:r>
              <a:rPr lang="es-CO" sz="1400" b="0" i="0" u="none" strike="noStrike" baseline="0">
                <a:effectLst/>
              </a:rPr>
              <a:t>3er</a:t>
            </a:r>
            <a:r>
              <a:rPr lang="en-US">
                <a:solidFill>
                  <a:sysClr val="windowText" lastClr="000000"/>
                </a:solidFill>
              </a:rPr>
              <a:t> Trimestre 2018</a:t>
            </a:r>
          </a:p>
        </c:rich>
      </c:tx>
      <c:layout/>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Ejecucion!$G$67</c:f>
              <c:strCache>
                <c:ptCount val="1"/>
                <c:pt idx="0">
                  <c:v>III TRIMESTRE</c:v>
                </c:pt>
              </c:strCache>
            </c:strRef>
          </c:tx>
          <c:spPr>
            <a:solidFill>
              <a:schemeClr val="accent1"/>
            </a:solidFill>
            <a:ln>
              <a:noFill/>
            </a:ln>
            <a:effectLst/>
            <a:sp3d/>
          </c:spPr>
          <c:invertIfNegative val="0"/>
          <c:dPt>
            <c:idx val="0"/>
            <c:invertIfNegative val="0"/>
            <c:bubble3D val="0"/>
            <c:spPr>
              <a:solidFill>
                <a:srgbClr val="8D191D"/>
              </a:solidFill>
              <a:ln>
                <a:noFill/>
              </a:ln>
              <a:effectLst/>
              <a:sp3d/>
            </c:spPr>
            <c:extLst xmlns:c16r2="http://schemas.microsoft.com/office/drawing/2015/06/chart">
              <c:ext xmlns:c16="http://schemas.microsoft.com/office/drawing/2014/chart" uri="{C3380CC4-5D6E-409C-BE32-E72D297353CC}">
                <c16:uniqueId val="{00000001-EAC5-4476-BBBF-88B5D2982B1B}"/>
              </c:ext>
            </c:extLst>
          </c:dPt>
          <c:dPt>
            <c:idx val="1"/>
            <c:invertIfNegative val="0"/>
            <c:bubble3D val="0"/>
            <c:spPr>
              <a:solidFill>
                <a:srgbClr val="00B050"/>
              </a:solidFill>
              <a:ln>
                <a:noFill/>
              </a:ln>
              <a:effectLst/>
              <a:sp3d/>
            </c:spPr>
            <c:extLst xmlns:c16r2="http://schemas.microsoft.com/office/drawing/2015/06/chart">
              <c:ext xmlns:c16="http://schemas.microsoft.com/office/drawing/2014/chart" uri="{C3380CC4-5D6E-409C-BE32-E72D297353CC}">
                <c16:uniqueId val="{00000003-EAC5-4476-BBBF-88B5D2982B1B}"/>
              </c:ext>
            </c:extLst>
          </c:dPt>
          <c:dPt>
            <c:idx val="2"/>
            <c:invertIfNegative val="0"/>
            <c:bubble3D val="0"/>
            <c:spPr>
              <a:solidFill>
                <a:schemeClr val="accent4">
                  <a:lumMod val="75000"/>
                </a:schemeClr>
              </a:solidFill>
              <a:ln>
                <a:noFill/>
              </a:ln>
              <a:effectLst/>
              <a:sp3d/>
            </c:spPr>
            <c:extLst xmlns:c16r2="http://schemas.microsoft.com/office/drawing/2015/06/chart">
              <c:ext xmlns:c16="http://schemas.microsoft.com/office/drawing/2014/chart" uri="{C3380CC4-5D6E-409C-BE32-E72D297353CC}">
                <c16:uniqueId val="{00000005-EAC5-4476-BBBF-88B5D2982B1B}"/>
              </c:ext>
            </c:extLst>
          </c:dPt>
          <c:dPt>
            <c:idx val="4"/>
            <c:invertIfNegative val="0"/>
            <c:bubble3D val="0"/>
            <c:spPr>
              <a:solidFill>
                <a:srgbClr val="FFC000"/>
              </a:solidFill>
              <a:ln>
                <a:noFill/>
              </a:ln>
              <a:effectLst/>
              <a:sp3d/>
            </c:spPr>
            <c:extLst xmlns:c16r2="http://schemas.microsoft.com/office/drawing/2015/06/chart">
              <c:ext xmlns:c16="http://schemas.microsoft.com/office/drawing/2014/chart" uri="{C3380CC4-5D6E-409C-BE32-E72D297353CC}">
                <c16:uniqueId val="{00000007-EAC5-4476-BBBF-88B5D2982B1B}"/>
              </c:ext>
            </c:extLst>
          </c:dPt>
          <c:cat>
            <c:strRef>
              <c:f>Ejecucion!$A$68:$A$72</c:f>
              <c:strCache>
                <c:ptCount val="5"/>
                <c:pt idx="0">
                  <c:v>SUBSISTEMA DE FORMACIÓN</c:v>
                </c:pt>
                <c:pt idx="1">
                  <c:v>SUBSISTEMA DE INVESTIGACIÓN</c:v>
                </c:pt>
                <c:pt idx="2">
                  <c:v>SUBSISTEMA DE PROYECCIÓN SOCIAL</c:v>
                </c:pt>
                <c:pt idx="3">
                  <c:v>SUBSISTEMA DE BIENESTAR UNIVERSITARIO</c:v>
                </c:pt>
                <c:pt idx="4">
                  <c:v>SUBSISTEMA ADMINISTRATIVO</c:v>
                </c:pt>
              </c:strCache>
            </c:strRef>
          </c:cat>
          <c:val>
            <c:numRef>
              <c:f>Ejecucion!$G$68:$G$72</c:f>
              <c:numCache>
                <c:formatCode>0.00%</c:formatCode>
                <c:ptCount val="5"/>
                <c:pt idx="0">
                  <c:v>1</c:v>
                </c:pt>
                <c:pt idx="1">
                  <c:v>0.77772206624416151</c:v>
                </c:pt>
                <c:pt idx="2">
                  <c:v>0.92533068783068784</c:v>
                </c:pt>
                <c:pt idx="3">
                  <c:v>0.81197124257940334</c:v>
                </c:pt>
                <c:pt idx="4">
                  <c:v>0.91696883862794076</c:v>
                </c:pt>
              </c:numCache>
            </c:numRef>
          </c:val>
          <c:extLst xmlns:c16r2="http://schemas.microsoft.com/office/drawing/2015/06/chart">
            <c:ext xmlns:c16="http://schemas.microsoft.com/office/drawing/2014/chart" uri="{C3380CC4-5D6E-409C-BE32-E72D297353CC}">
              <c16:uniqueId val="{00000008-EAC5-4476-BBBF-88B5D2982B1B}"/>
            </c:ext>
          </c:extLst>
        </c:ser>
        <c:dLbls>
          <c:showLegendKey val="0"/>
          <c:showVal val="0"/>
          <c:showCatName val="0"/>
          <c:showSerName val="0"/>
          <c:showPercent val="0"/>
          <c:showBubbleSize val="0"/>
        </c:dLbls>
        <c:gapWidth val="150"/>
        <c:shape val="box"/>
        <c:axId val="41820160"/>
        <c:axId val="41821696"/>
        <c:axId val="0"/>
      </c:bar3DChart>
      <c:catAx>
        <c:axId val="4182016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821696"/>
        <c:crosses val="autoZero"/>
        <c:auto val="1"/>
        <c:lblAlgn val="ctr"/>
        <c:lblOffset val="100"/>
        <c:noMultiLvlLbl val="0"/>
      </c:catAx>
      <c:valAx>
        <c:axId val="41821696"/>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8201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Eficiencia por Subsistema </a:t>
            </a:r>
            <a:r>
              <a:rPr lang="es-CO" sz="1400" b="0" i="0" u="none" strike="noStrike" baseline="0">
                <a:effectLst/>
              </a:rPr>
              <a:t>3er</a:t>
            </a:r>
            <a:r>
              <a:rPr lang="en-US">
                <a:solidFill>
                  <a:sysClr val="windowText" lastClr="000000"/>
                </a:solidFill>
              </a:rPr>
              <a:t> Trimestre 2018</a:t>
            </a:r>
          </a:p>
        </c:rich>
      </c:tx>
      <c:layout/>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Ejecucion!$G$76</c:f>
              <c:strCache>
                <c:ptCount val="1"/>
                <c:pt idx="0">
                  <c:v>III TRIMESTRE</c:v>
                </c:pt>
              </c:strCache>
            </c:strRef>
          </c:tx>
          <c:spPr>
            <a:solidFill>
              <a:schemeClr val="accent1"/>
            </a:solidFill>
            <a:ln>
              <a:noFill/>
            </a:ln>
            <a:effectLst/>
            <a:sp3d/>
          </c:spPr>
          <c:invertIfNegative val="0"/>
          <c:cat>
            <c:strRef>
              <c:f>Ejecucion!$A$77:$A$81</c:f>
              <c:strCache>
                <c:ptCount val="5"/>
                <c:pt idx="0">
                  <c:v>SUBSISTEMA DE FORMACIÓN</c:v>
                </c:pt>
                <c:pt idx="1">
                  <c:v>SUBSISTEMA DE INVESTIGACIÓN</c:v>
                </c:pt>
                <c:pt idx="2">
                  <c:v>SUBSISTEMA DE PROYECCIÓN SOCIAL</c:v>
                </c:pt>
                <c:pt idx="3">
                  <c:v>SUBSISTEMA DE BIENESTAR UNIVERSITARIO</c:v>
                </c:pt>
                <c:pt idx="4">
                  <c:v>SUBSISTEMA ADMINISTRATIVO</c:v>
                </c:pt>
              </c:strCache>
            </c:strRef>
          </c:cat>
          <c:val>
            <c:numRef>
              <c:f>Ejecucion!$G$77:$G$81</c:f>
              <c:numCache>
                <c:formatCode>0.00%</c:formatCode>
                <c:ptCount val="5"/>
                <c:pt idx="0">
                  <c:v>0.88455084736707512</c:v>
                </c:pt>
                <c:pt idx="1">
                  <c:v>0.66607072068904838</c:v>
                </c:pt>
                <c:pt idx="2">
                  <c:v>0.91613617712311779</c:v>
                </c:pt>
                <c:pt idx="3">
                  <c:v>0.98524716069465912</c:v>
                </c:pt>
                <c:pt idx="4">
                  <c:v>0.24019979458551369</c:v>
                </c:pt>
              </c:numCache>
            </c:numRef>
          </c:val>
          <c:extLst xmlns:c16r2="http://schemas.microsoft.com/office/drawing/2015/06/chart">
            <c:ext xmlns:c16="http://schemas.microsoft.com/office/drawing/2014/chart" uri="{C3380CC4-5D6E-409C-BE32-E72D297353CC}">
              <c16:uniqueId val="{00000000-9DE5-4FFD-8502-20FD38D7C6A7}"/>
            </c:ext>
          </c:extLst>
        </c:ser>
        <c:dLbls>
          <c:showLegendKey val="0"/>
          <c:showVal val="0"/>
          <c:showCatName val="0"/>
          <c:showSerName val="0"/>
          <c:showPercent val="0"/>
          <c:showBubbleSize val="0"/>
        </c:dLbls>
        <c:gapWidth val="150"/>
        <c:shape val="box"/>
        <c:axId val="41846656"/>
        <c:axId val="41848192"/>
        <c:axId val="0"/>
      </c:bar3DChart>
      <c:catAx>
        <c:axId val="41846656"/>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848192"/>
        <c:crosses val="autoZero"/>
        <c:auto val="1"/>
        <c:lblAlgn val="ctr"/>
        <c:lblOffset val="100"/>
        <c:noMultiLvlLbl val="0"/>
      </c:catAx>
      <c:valAx>
        <c:axId val="41848192"/>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18466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a:t>
            </a:r>
            <a:r>
              <a:rPr lang="es-CO" baseline="0">
                <a:solidFill>
                  <a:sysClr val="windowText" lastClr="000000"/>
                </a:solidFill>
              </a:rPr>
              <a:t> Proyección Social 1er Trimestre 2018</a:t>
            </a:r>
            <a:endParaRPr lang="es-CO">
              <a:solidFill>
                <a:sysClr val="windowText" lastClr="000000"/>
              </a:solidFill>
            </a:endParaRPr>
          </a:p>
        </c:rich>
      </c:tx>
      <c:overlay val="0"/>
      <c:spPr>
        <a:noFill/>
        <a:ln>
          <a:noFill/>
        </a:ln>
        <a:effectLst/>
      </c:spPr>
    </c:title>
    <c:autoTitleDeleted val="0"/>
    <c:plotArea>
      <c:layout/>
      <c:barChart>
        <c:barDir val="bar"/>
        <c:grouping val="clustered"/>
        <c:varyColors val="0"/>
        <c:ser>
          <c:idx val="0"/>
          <c:order val="0"/>
          <c:tx>
            <c:strRef>
              <c:f>Ejecucion!$F$28</c:f>
              <c:strCache>
                <c:ptCount val="1"/>
                <c:pt idx="0">
                  <c:v>EFICIENCIA</c:v>
                </c:pt>
              </c:strCache>
            </c:strRef>
          </c:tx>
          <c:spPr>
            <a:solidFill>
              <a:schemeClr val="accent1"/>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Ejecucion!$F$29:$F$36</c:f>
              <c:numCache>
                <c:formatCode>0.00%</c:formatCode>
                <c:ptCount val="8"/>
                <c:pt idx="0">
                  <c:v>0.77720771064096583</c:v>
                </c:pt>
                <c:pt idx="1">
                  <c:v>1</c:v>
                </c:pt>
                <c:pt idx="2">
                  <c:v>0.96478246697227688</c:v>
                </c:pt>
                <c:pt idx="3">
                  <c:v>0.29982432949443688</c:v>
                </c:pt>
                <c:pt idx="4">
                  <c:v>1</c:v>
                </c:pt>
                <c:pt idx="5">
                  <c:v>1</c:v>
                </c:pt>
                <c:pt idx="6">
                  <c:v>6.6666666666666668E-8</c:v>
                </c:pt>
                <c:pt idx="7">
                  <c:v>0.99047596422741446</c:v>
                </c:pt>
              </c:numCache>
            </c:numRef>
          </c:val>
          <c:extLst xmlns:c16r2="http://schemas.microsoft.com/office/drawing/2015/06/chart">
            <c:ext xmlns:c16="http://schemas.microsoft.com/office/drawing/2014/chart" uri="{C3380CC4-5D6E-409C-BE32-E72D297353CC}">
              <c16:uniqueId val="{00000000-467F-43BF-9132-7625D50E6D7C}"/>
            </c:ext>
          </c:extLst>
        </c:ser>
        <c:ser>
          <c:idx val="1"/>
          <c:order val="1"/>
          <c:tx>
            <c:strRef>
              <c:f>Ejecucion!$G$28</c:f>
              <c:strCache>
                <c:ptCount val="1"/>
                <c:pt idx="0">
                  <c:v>EFICACIA</c:v>
                </c:pt>
              </c:strCache>
            </c:strRef>
          </c:tx>
          <c:spPr>
            <a:solidFill>
              <a:schemeClr val="accent2"/>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Ejecucion!$G$29:$G$36</c:f>
              <c:numCache>
                <c:formatCode>0.00%</c:formatCode>
                <c:ptCount val="8"/>
                <c:pt idx="0">
                  <c:v>0.8666666666666667</c:v>
                </c:pt>
                <c:pt idx="1">
                  <c:v>1</c:v>
                </c:pt>
                <c:pt idx="2">
                  <c:v>0.70349325396825402</c:v>
                </c:pt>
                <c:pt idx="3">
                  <c:v>1</c:v>
                </c:pt>
                <c:pt idx="4">
                  <c:v>1</c:v>
                </c:pt>
                <c:pt idx="5">
                  <c:v>1</c:v>
                </c:pt>
                <c:pt idx="6">
                  <c:v>1</c:v>
                </c:pt>
                <c:pt idx="7">
                  <c:v>1</c:v>
                </c:pt>
              </c:numCache>
            </c:numRef>
          </c:val>
          <c:extLst xmlns:c16r2="http://schemas.microsoft.com/office/drawing/2015/06/chart">
            <c:ext xmlns:c16="http://schemas.microsoft.com/office/drawing/2014/chart" uri="{C3380CC4-5D6E-409C-BE32-E72D297353CC}">
              <c16:uniqueId val="{00000001-467F-43BF-9132-7625D50E6D7C}"/>
            </c:ext>
          </c:extLst>
        </c:ser>
        <c:ser>
          <c:idx val="2"/>
          <c:order val="2"/>
          <c:tx>
            <c:strRef>
              <c:f>Ejecucion!$I$28</c:f>
              <c:strCache>
                <c:ptCount val="1"/>
                <c:pt idx="0">
                  <c:v>EFECTIVIDAD</c:v>
                </c:pt>
              </c:strCache>
            </c:strRef>
          </c:tx>
          <c:spPr>
            <a:solidFill>
              <a:schemeClr val="accent3"/>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Ejecucion!$I$29:$I$36</c:f>
              <c:numCache>
                <c:formatCode>0.00%</c:formatCode>
                <c:ptCount val="8"/>
                <c:pt idx="0">
                  <c:v>0.82193718865381626</c:v>
                </c:pt>
                <c:pt idx="1">
                  <c:v>1</c:v>
                </c:pt>
                <c:pt idx="2">
                  <c:v>0.83413786047026539</c:v>
                </c:pt>
                <c:pt idx="3">
                  <c:v>0.64991216474721847</c:v>
                </c:pt>
                <c:pt idx="4">
                  <c:v>1</c:v>
                </c:pt>
                <c:pt idx="5">
                  <c:v>1</c:v>
                </c:pt>
                <c:pt idx="6">
                  <c:v>0.50000003333333332</c:v>
                </c:pt>
                <c:pt idx="7">
                  <c:v>0.99523798211370718</c:v>
                </c:pt>
              </c:numCache>
            </c:numRef>
          </c:val>
          <c:extLst xmlns:c16r2="http://schemas.microsoft.com/office/drawing/2015/06/chart">
            <c:ext xmlns:c16="http://schemas.microsoft.com/office/drawing/2014/chart" uri="{C3380CC4-5D6E-409C-BE32-E72D297353CC}">
              <c16:uniqueId val="{00000002-467F-43BF-9132-7625D50E6D7C}"/>
            </c:ext>
          </c:extLst>
        </c:ser>
        <c:dLbls>
          <c:showLegendKey val="0"/>
          <c:showVal val="0"/>
          <c:showCatName val="0"/>
          <c:showSerName val="0"/>
          <c:showPercent val="0"/>
          <c:showBubbleSize val="0"/>
        </c:dLbls>
        <c:gapWidth val="182"/>
        <c:axId val="40014592"/>
        <c:axId val="40016128"/>
      </c:barChart>
      <c:catAx>
        <c:axId val="400145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0016128"/>
        <c:crosses val="autoZero"/>
        <c:auto val="1"/>
        <c:lblAlgn val="ctr"/>
        <c:lblOffset val="100"/>
        <c:noMultiLvlLbl val="0"/>
      </c:catAx>
      <c:valAx>
        <c:axId val="40016128"/>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00145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Bienestar Universitario 1er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Ejecucion!$F$41</c:f>
              <c:strCache>
                <c:ptCount val="1"/>
                <c:pt idx="0">
                  <c:v>EFICIENCIA</c:v>
                </c:pt>
              </c:strCache>
            </c:strRef>
          </c:tx>
          <c:spPr>
            <a:solidFill>
              <a:schemeClr val="accent1"/>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Ejecucion!$F$42:$F$48</c:f>
              <c:numCache>
                <c:formatCode>0.00%</c:formatCode>
                <c:ptCount val="7"/>
                <c:pt idx="0">
                  <c:v>0.90553161919194869</c:v>
                </c:pt>
                <c:pt idx="1">
                  <c:v>1</c:v>
                </c:pt>
                <c:pt idx="2">
                  <c:v>1</c:v>
                </c:pt>
                <c:pt idx="3">
                  <c:v>0.54118613803899107</c:v>
                </c:pt>
                <c:pt idx="4">
                  <c:v>1</c:v>
                </c:pt>
                <c:pt idx="5">
                  <c:v>1.3333333333333334E-7</c:v>
                </c:pt>
                <c:pt idx="6">
                  <c:v>0.96121343326547271</c:v>
                </c:pt>
              </c:numCache>
            </c:numRef>
          </c:val>
          <c:extLst xmlns:c16r2="http://schemas.microsoft.com/office/drawing/2015/06/chart">
            <c:ext xmlns:c16="http://schemas.microsoft.com/office/drawing/2014/chart" uri="{C3380CC4-5D6E-409C-BE32-E72D297353CC}">
              <c16:uniqueId val="{00000000-68CD-47E5-9C1F-450A8349640D}"/>
            </c:ext>
          </c:extLst>
        </c:ser>
        <c:ser>
          <c:idx val="1"/>
          <c:order val="1"/>
          <c:tx>
            <c:strRef>
              <c:f>Ejecucion!$G$41</c:f>
              <c:strCache>
                <c:ptCount val="1"/>
                <c:pt idx="0">
                  <c:v>EFICACIA</c:v>
                </c:pt>
              </c:strCache>
            </c:strRef>
          </c:tx>
          <c:spPr>
            <a:solidFill>
              <a:schemeClr val="accent2"/>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Ejecucion!$G$42:$G$48</c:f>
              <c:numCache>
                <c:formatCode>0.00%</c:formatCode>
                <c:ptCount val="7"/>
                <c:pt idx="0">
                  <c:v>0.87074074074074082</c:v>
                </c:pt>
                <c:pt idx="1">
                  <c:v>1</c:v>
                </c:pt>
                <c:pt idx="2">
                  <c:v>1</c:v>
                </c:pt>
                <c:pt idx="3">
                  <c:v>4.3333333333333334E-5</c:v>
                </c:pt>
                <c:pt idx="4">
                  <c:v>0.84054399144816938</c:v>
                </c:pt>
                <c:pt idx="5">
                  <c:v>8.0000000000000007E-5</c:v>
                </c:pt>
                <c:pt idx="6">
                  <c:v>0.87458102620893319</c:v>
                </c:pt>
              </c:numCache>
            </c:numRef>
          </c:val>
          <c:extLst xmlns:c16r2="http://schemas.microsoft.com/office/drawing/2015/06/chart">
            <c:ext xmlns:c16="http://schemas.microsoft.com/office/drawing/2014/chart" uri="{C3380CC4-5D6E-409C-BE32-E72D297353CC}">
              <c16:uniqueId val="{00000001-68CD-47E5-9C1F-450A8349640D}"/>
            </c:ext>
          </c:extLst>
        </c:ser>
        <c:ser>
          <c:idx val="2"/>
          <c:order val="2"/>
          <c:tx>
            <c:strRef>
              <c:f>Ejecucion!$I$41</c:f>
              <c:strCache>
                <c:ptCount val="1"/>
                <c:pt idx="0">
                  <c:v>EFECTIVIDAD</c:v>
                </c:pt>
              </c:strCache>
            </c:strRef>
          </c:tx>
          <c:spPr>
            <a:solidFill>
              <a:srgbClr val="00B050"/>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Ejecucion!$I$42:$I$48</c:f>
              <c:numCache>
                <c:formatCode>0.00%</c:formatCode>
                <c:ptCount val="7"/>
                <c:pt idx="0">
                  <c:v>0.88813617996634475</c:v>
                </c:pt>
                <c:pt idx="1">
                  <c:v>1</c:v>
                </c:pt>
                <c:pt idx="2">
                  <c:v>1</c:v>
                </c:pt>
                <c:pt idx="3">
                  <c:v>0.27061473568616218</c:v>
                </c:pt>
                <c:pt idx="4">
                  <c:v>0.92027199572408469</c:v>
                </c:pt>
                <c:pt idx="5">
                  <c:v>4.0066666666666667E-5</c:v>
                </c:pt>
                <c:pt idx="6">
                  <c:v>0.917897229737203</c:v>
                </c:pt>
              </c:numCache>
            </c:numRef>
          </c:val>
          <c:extLst xmlns:c16r2="http://schemas.microsoft.com/office/drawing/2015/06/chart">
            <c:ext xmlns:c16="http://schemas.microsoft.com/office/drawing/2014/chart" uri="{C3380CC4-5D6E-409C-BE32-E72D297353CC}">
              <c16:uniqueId val="{00000002-68CD-47E5-9C1F-450A8349640D}"/>
            </c:ext>
          </c:extLst>
        </c:ser>
        <c:dLbls>
          <c:showLegendKey val="0"/>
          <c:showVal val="0"/>
          <c:showCatName val="0"/>
          <c:showSerName val="0"/>
          <c:showPercent val="0"/>
          <c:showBubbleSize val="0"/>
        </c:dLbls>
        <c:gapWidth val="150"/>
        <c:shape val="box"/>
        <c:axId val="40130048"/>
        <c:axId val="40131584"/>
        <c:axId val="0"/>
      </c:bar3DChart>
      <c:catAx>
        <c:axId val="40130048"/>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0131584"/>
        <c:crosses val="autoZero"/>
        <c:auto val="1"/>
        <c:lblAlgn val="ctr"/>
        <c:lblOffset val="100"/>
        <c:noMultiLvlLbl val="0"/>
      </c:catAx>
      <c:valAx>
        <c:axId val="4013158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01300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Administrativo 1er</a:t>
            </a:r>
            <a:r>
              <a:rPr lang="es-CO" baseline="0">
                <a:solidFill>
                  <a:sysClr val="windowText" lastClr="000000"/>
                </a:solidFill>
              </a:rPr>
              <a:t> Trimestre 2018</a:t>
            </a:r>
            <a:endParaRPr lang="es-CO">
              <a:solidFill>
                <a:sysClr val="windowText" lastClr="000000"/>
              </a:solidFill>
            </a:endParaRP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Ejecucion!$F$53</c:f>
              <c:strCache>
                <c:ptCount val="1"/>
                <c:pt idx="0">
                  <c:v>EFICIENCIA</c:v>
                </c:pt>
              </c:strCache>
            </c:strRef>
          </c:tx>
          <c:spPr>
            <a:solidFill>
              <a:schemeClr val="accent1"/>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(Ejecucion!$F$54,Ejecucion!$F$55,Ejecucion!$F$56,Ejecucion!$F$58,Ejecucion!$F$60)</c:f>
              <c:numCache>
                <c:formatCode>0.00%</c:formatCode>
                <c:ptCount val="4"/>
                <c:pt idx="0">
                  <c:v>0</c:v>
                </c:pt>
                <c:pt idx="1">
                  <c:v>0.27222649956676248</c:v>
                </c:pt>
                <c:pt idx="2">
                  <c:v>0.88074943095502056</c:v>
                </c:pt>
                <c:pt idx="3">
                  <c:v>1</c:v>
                </c:pt>
              </c:numCache>
            </c:numRef>
          </c:val>
          <c:extLst xmlns:c16r2="http://schemas.microsoft.com/office/drawing/2015/06/chart">
            <c:ext xmlns:c16="http://schemas.microsoft.com/office/drawing/2014/chart" uri="{C3380CC4-5D6E-409C-BE32-E72D297353CC}">
              <c16:uniqueId val="{00000000-73AE-4139-95FE-1D07BA8DA0C8}"/>
            </c:ext>
          </c:extLst>
        </c:ser>
        <c:ser>
          <c:idx val="1"/>
          <c:order val="1"/>
          <c:tx>
            <c:strRef>
              <c:f>Ejecucion!$G$53</c:f>
              <c:strCache>
                <c:ptCount val="1"/>
                <c:pt idx="0">
                  <c:v>EFICACIA</c:v>
                </c:pt>
              </c:strCache>
            </c:strRef>
          </c:tx>
          <c:spPr>
            <a:solidFill>
              <a:schemeClr val="accent2"/>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(Ejecucion!$G$54,Ejecucion!$G$55,Ejecucion!$G$56,Ejecucion!$G$58,Ejecucion!$G$60)</c:f>
              <c:numCache>
                <c:formatCode>0.00%</c:formatCode>
                <c:ptCount val="4"/>
                <c:pt idx="0">
                  <c:v>1</c:v>
                </c:pt>
                <c:pt idx="1">
                  <c:v>0.60916986765665448</c:v>
                </c:pt>
                <c:pt idx="2">
                  <c:v>1</c:v>
                </c:pt>
                <c:pt idx="3">
                  <c:v>0.76018099547511309</c:v>
                </c:pt>
              </c:numCache>
            </c:numRef>
          </c:val>
          <c:extLst xmlns:c16r2="http://schemas.microsoft.com/office/drawing/2015/06/chart">
            <c:ext xmlns:c16="http://schemas.microsoft.com/office/drawing/2014/chart" uri="{C3380CC4-5D6E-409C-BE32-E72D297353CC}">
              <c16:uniqueId val="{00000001-73AE-4139-95FE-1D07BA8DA0C8}"/>
            </c:ext>
          </c:extLst>
        </c:ser>
        <c:ser>
          <c:idx val="2"/>
          <c:order val="2"/>
          <c:tx>
            <c:strRef>
              <c:f>Ejecucion!$I$53</c:f>
              <c:strCache>
                <c:ptCount val="1"/>
                <c:pt idx="0">
                  <c:v>EFECTIVIDAD</c:v>
                </c:pt>
              </c:strCache>
            </c:strRef>
          </c:tx>
          <c:spPr>
            <a:solidFill>
              <a:schemeClr val="accent3"/>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(Ejecucion!$I$54,Ejecucion!$I$55,Ejecucion!$I$56,Ejecucion!$I$58,Ejecucion!$I$60)</c:f>
              <c:numCache>
                <c:formatCode>0.00%</c:formatCode>
                <c:ptCount val="4"/>
                <c:pt idx="0">
                  <c:v>0.5</c:v>
                </c:pt>
                <c:pt idx="1">
                  <c:v>0.44069818361170848</c:v>
                </c:pt>
                <c:pt idx="2">
                  <c:v>0.94037471547751028</c:v>
                </c:pt>
                <c:pt idx="3">
                  <c:v>0.88009049773755654</c:v>
                </c:pt>
              </c:numCache>
            </c:numRef>
          </c:val>
          <c:extLst xmlns:c16r2="http://schemas.microsoft.com/office/drawing/2015/06/chart">
            <c:ext xmlns:c16="http://schemas.microsoft.com/office/drawing/2014/chart" uri="{C3380CC4-5D6E-409C-BE32-E72D297353CC}">
              <c16:uniqueId val="{00000002-73AE-4139-95FE-1D07BA8DA0C8}"/>
            </c:ext>
          </c:extLst>
        </c:ser>
        <c:dLbls>
          <c:showLegendKey val="0"/>
          <c:showVal val="0"/>
          <c:showCatName val="0"/>
          <c:showSerName val="0"/>
          <c:showPercent val="0"/>
          <c:showBubbleSize val="0"/>
        </c:dLbls>
        <c:gapWidth val="150"/>
        <c:shape val="box"/>
        <c:axId val="40245504"/>
        <c:axId val="40255488"/>
        <c:axId val="0"/>
      </c:bar3DChart>
      <c:catAx>
        <c:axId val="40245504"/>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0255488"/>
        <c:crosses val="autoZero"/>
        <c:auto val="1"/>
        <c:lblAlgn val="ctr"/>
        <c:lblOffset val="100"/>
        <c:noMultiLvlLbl val="0"/>
      </c:catAx>
      <c:valAx>
        <c:axId val="40255488"/>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02455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Plan Desarrollo 1er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'1 Trimestre'!$E$2</c:f>
              <c:strCache>
                <c:ptCount val="1"/>
                <c:pt idx="0">
                  <c:v>EFICIENCIA</c:v>
                </c:pt>
              </c:strCache>
            </c:strRef>
          </c:tx>
          <c:spPr>
            <a:solidFill>
              <a:schemeClr val="accent1"/>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 Trimestre'!$A$3:$A$7</c:f>
              <c:strCache>
                <c:ptCount val="5"/>
                <c:pt idx="0">
                  <c:v>FORMACIÓN</c:v>
                </c:pt>
                <c:pt idx="1">
                  <c:v>INVESTIGACIÓN</c:v>
                </c:pt>
                <c:pt idx="2">
                  <c:v>PROYECCIÓN SOCIAL</c:v>
                </c:pt>
                <c:pt idx="3">
                  <c:v>BIENESTAR UNIVERSITARIO</c:v>
                </c:pt>
                <c:pt idx="4">
                  <c:v>ADMINISTRATIVO</c:v>
                </c:pt>
              </c:strCache>
            </c:strRef>
          </c:cat>
          <c:val>
            <c:numRef>
              <c:f>'1 Trimestre'!$E$3:$E$7</c:f>
              <c:numCache>
                <c:formatCode>0.00%</c:formatCode>
                <c:ptCount val="5"/>
                <c:pt idx="0">
                  <c:v>0.8289050142198513</c:v>
                </c:pt>
                <c:pt idx="1">
                  <c:v>0.62588255779494273</c:v>
                </c:pt>
                <c:pt idx="2">
                  <c:v>0.95685157065516901</c:v>
                </c:pt>
                <c:pt idx="3">
                  <c:v>0.98874229098212041</c:v>
                </c:pt>
                <c:pt idx="4">
                  <c:v>0.307208853748345</c:v>
                </c:pt>
              </c:numCache>
            </c:numRef>
          </c:val>
          <c:extLst xmlns:c16r2="http://schemas.microsoft.com/office/drawing/2015/06/chart">
            <c:ext xmlns:c16="http://schemas.microsoft.com/office/drawing/2014/chart" uri="{C3380CC4-5D6E-409C-BE32-E72D297353CC}">
              <c16:uniqueId val="{00000000-9166-4696-BEF7-B1979A86B8F6}"/>
            </c:ext>
          </c:extLst>
        </c:ser>
        <c:ser>
          <c:idx val="1"/>
          <c:order val="1"/>
          <c:tx>
            <c:strRef>
              <c:f>'1 Trimestre'!$F$2</c:f>
              <c:strCache>
                <c:ptCount val="1"/>
                <c:pt idx="0">
                  <c:v>EFICACIA</c:v>
                </c:pt>
              </c:strCache>
            </c:strRef>
          </c:tx>
          <c:spPr>
            <a:solidFill>
              <a:schemeClr val="accent2"/>
            </a:solidFill>
            <a:ln>
              <a:noFill/>
            </a:ln>
            <a:effectLst/>
            <a:sp3d/>
          </c:spPr>
          <c:invertIfNegative val="0"/>
          <c:dLbls>
            <c:dLbl>
              <c:idx val="3"/>
              <c:layout>
                <c:manualLayout>
                  <c:x val="1.5432098765430968E-3"/>
                  <c:y val="-1.0376133476838073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1-9166-4696-BEF7-B1979A86B8F6}"/>
                </c:ext>
              </c:extLst>
            </c:dLbl>
            <c:dLbl>
              <c:idx val="4"/>
              <c:layout>
                <c:manualLayout>
                  <c:x val="4.6296296296296294E-3"/>
                  <c:y val="-3.4587111589460245E-3"/>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2-9166-4696-BEF7-B1979A86B8F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 Trimestre'!$A$3:$A$7</c:f>
              <c:strCache>
                <c:ptCount val="5"/>
                <c:pt idx="0">
                  <c:v>FORMACIÓN</c:v>
                </c:pt>
                <c:pt idx="1">
                  <c:v>INVESTIGACIÓN</c:v>
                </c:pt>
                <c:pt idx="2">
                  <c:v>PROYECCIÓN SOCIAL</c:v>
                </c:pt>
                <c:pt idx="3">
                  <c:v>BIENESTAR UNIVERSITARIO</c:v>
                </c:pt>
                <c:pt idx="4">
                  <c:v>ADMINISTRATIVO</c:v>
                </c:pt>
              </c:strCache>
            </c:strRef>
          </c:cat>
          <c:val>
            <c:numRef>
              <c:f>'1 Trimestre'!$F$3:$F$7</c:f>
              <c:numCache>
                <c:formatCode>0.00%</c:formatCode>
                <c:ptCount val="5"/>
                <c:pt idx="0">
                  <c:v>1</c:v>
                </c:pt>
                <c:pt idx="1">
                  <c:v>0.63747238156801178</c:v>
                </c:pt>
                <c:pt idx="2">
                  <c:v>0.93552398809523807</c:v>
                </c:pt>
                <c:pt idx="3">
                  <c:v>0.66837687748614105</c:v>
                </c:pt>
                <c:pt idx="4">
                  <c:v>0.83478715939201897</c:v>
                </c:pt>
              </c:numCache>
            </c:numRef>
          </c:val>
          <c:extLst xmlns:c16r2="http://schemas.microsoft.com/office/drawing/2015/06/chart">
            <c:ext xmlns:c16="http://schemas.microsoft.com/office/drawing/2014/chart" uri="{C3380CC4-5D6E-409C-BE32-E72D297353CC}">
              <c16:uniqueId val="{00000003-9166-4696-BEF7-B1979A86B8F6}"/>
            </c:ext>
          </c:extLst>
        </c:ser>
        <c:ser>
          <c:idx val="2"/>
          <c:order val="2"/>
          <c:tx>
            <c:strRef>
              <c:f>'1 Trimestre'!$G$2</c:f>
              <c:strCache>
                <c:ptCount val="1"/>
                <c:pt idx="0">
                  <c:v>EFECTIVIDAD</c:v>
                </c:pt>
              </c:strCache>
            </c:strRef>
          </c:tx>
          <c:spPr>
            <a:solidFill>
              <a:srgbClr val="00B050"/>
            </a:solidFill>
            <a:ln>
              <a:noFill/>
            </a:ln>
            <a:effectLst/>
            <a:sp3d/>
          </c:spPr>
          <c:invertIfNegative val="0"/>
          <c:dLbls>
            <c:dLbl>
              <c:idx val="3"/>
              <c:layout>
                <c:manualLayout>
                  <c:x val="1.5432098765432098E-3"/>
                  <c:y val="-1.3834844635784067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4-9166-4696-BEF7-B1979A86B8F6}"/>
                </c:ext>
              </c:extLst>
            </c:dLbl>
            <c:dLbl>
              <c:idx val="4"/>
              <c:layout>
                <c:manualLayout>
                  <c:x val="6.1728395061727828E-3"/>
                  <c:y val="-1.3834844635784129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5-9166-4696-BEF7-B1979A86B8F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 Trimestre'!$A$3:$A$7</c:f>
              <c:strCache>
                <c:ptCount val="5"/>
                <c:pt idx="0">
                  <c:v>FORMACIÓN</c:v>
                </c:pt>
                <c:pt idx="1">
                  <c:v>INVESTIGACIÓN</c:v>
                </c:pt>
                <c:pt idx="2">
                  <c:v>PROYECCIÓN SOCIAL</c:v>
                </c:pt>
                <c:pt idx="3">
                  <c:v>BIENESTAR UNIVERSITARIO</c:v>
                </c:pt>
                <c:pt idx="4">
                  <c:v>ADMINISTRATIVO</c:v>
                </c:pt>
              </c:strCache>
            </c:strRef>
          </c:cat>
          <c:val>
            <c:numRef>
              <c:f>'1 Trimestre'!$G$3:$G$7</c:f>
              <c:numCache>
                <c:formatCode>0.00%</c:formatCode>
                <c:ptCount val="5"/>
                <c:pt idx="0">
                  <c:v>0.91445250710992565</c:v>
                </c:pt>
                <c:pt idx="1">
                  <c:v>0.63167746968147731</c:v>
                </c:pt>
                <c:pt idx="2">
                  <c:v>0.9461877793752036</c:v>
                </c:pt>
                <c:pt idx="3">
                  <c:v>0.82855958423413067</c:v>
                </c:pt>
                <c:pt idx="4">
                  <c:v>0.57099800657018196</c:v>
                </c:pt>
              </c:numCache>
            </c:numRef>
          </c:val>
          <c:extLst xmlns:c16r2="http://schemas.microsoft.com/office/drawing/2015/06/chart">
            <c:ext xmlns:c16="http://schemas.microsoft.com/office/drawing/2014/chart" uri="{C3380CC4-5D6E-409C-BE32-E72D297353CC}">
              <c16:uniqueId val="{00000006-9166-4696-BEF7-B1979A86B8F6}"/>
            </c:ext>
          </c:extLst>
        </c:ser>
        <c:dLbls>
          <c:showLegendKey val="0"/>
          <c:showVal val="0"/>
          <c:showCatName val="0"/>
          <c:showSerName val="0"/>
          <c:showPercent val="0"/>
          <c:showBubbleSize val="0"/>
        </c:dLbls>
        <c:gapWidth val="48"/>
        <c:gapDepth val="151"/>
        <c:shape val="box"/>
        <c:axId val="40312832"/>
        <c:axId val="40314368"/>
        <c:axId val="0"/>
      </c:bar3DChart>
      <c:catAx>
        <c:axId val="40312832"/>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0314368"/>
        <c:crosses val="autoZero"/>
        <c:auto val="1"/>
        <c:lblAlgn val="ctr"/>
        <c:lblOffset val="100"/>
        <c:noMultiLvlLbl val="0"/>
      </c:catAx>
      <c:valAx>
        <c:axId val="40314368"/>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03128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Eficacia por Subsistema 1er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Ejecucion!$C$67</c:f>
              <c:strCache>
                <c:ptCount val="1"/>
                <c:pt idx="0">
                  <c:v>I TRIMESTRE</c:v>
                </c:pt>
              </c:strCache>
            </c:strRef>
          </c:tx>
          <c:spPr>
            <a:solidFill>
              <a:schemeClr val="accent1"/>
            </a:solidFill>
            <a:ln>
              <a:noFill/>
            </a:ln>
            <a:effectLst/>
            <a:sp3d/>
          </c:spPr>
          <c:invertIfNegative val="0"/>
          <c:dPt>
            <c:idx val="0"/>
            <c:invertIfNegative val="0"/>
            <c:bubble3D val="0"/>
            <c:spPr>
              <a:solidFill>
                <a:srgbClr val="8D191D"/>
              </a:solidFill>
              <a:ln>
                <a:noFill/>
              </a:ln>
              <a:effectLst/>
              <a:sp3d/>
            </c:spPr>
            <c:extLst xmlns:c16r2="http://schemas.microsoft.com/office/drawing/2015/06/chart">
              <c:ext xmlns:c16="http://schemas.microsoft.com/office/drawing/2014/chart" uri="{C3380CC4-5D6E-409C-BE32-E72D297353CC}">
                <c16:uniqueId val="{00000001-0640-485A-AFDC-88A1A28D56BB}"/>
              </c:ext>
            </c:extLst>
          </c:dPt>
          <c:dPt>
            <c:idx val="1"/>
            <c:invertIfNegative val="0"/>
            <c:bubble3D val="0"/>
            <c:spPr>
              <a:solidFill>
                <a:srgbClr val="00B050"/>
              </a:solidFill>
              <a:ln>
                <a:noFill/>
              </a:ln>
              <a:effectLst/>
              <a:sp3d/>
            </c:spPr>
            <c:extLst xmlns:c16r2="http://schemas.microsoft.com/office/drawing/2015/06/chart">
              <c:ext xmlns:c16="http://schemas.microsoft.com/office/drawing/2014/chart" uri="{C3380CC4-5D6E-409C-BE32-E72D297353CC}">
                <c16:uniqueId val="{00000003-0640-485A-AFDC-88A1A28D56BB}"/>
              </c:ext>
            </c:extLst>
          </c:dPt>
          <c:dPt>
            <c:idx val="2"/>
            <c:invertIfNegative val="0"/>
            <c:bubble3D val="0"/>
            <c:spPr>
              <a:solidFill>
                <a:schemeClr val="accent4">
                  <a:lumMod val="75000"/>
                </a:schemeClr>
              </a:solidFill>
              <a:ln>
                <a:noFill/>
              </a:ln>
              <a:effectLst/>
              <a:sp3d/>
            </c:spPr>
            <c:extLst xmlns:c16r2="http://schemas.microsoft.com/office/drawing/2015/06/chart">
              <c:ext xmlns:c16="http://schemas.microsoft.com/office/drawing/2014/chart" uri="{C3380CC4-5D6E-409C-BE32-E72D297353CC}">
                <c16:uniqueId val="{00000005-0640-485A-AFDC-88A1A28D56BB}"/>
              </c:ext>
            </c:extLst>
          </c:dPt>
          <c:dPt>
            <c:idx val="4"/>
            <c:invertIfNegative val="0"/>
            <c:bubble3D val="0"/>
            <c:spPr>
              <a:solidFill>
                <a:srgbClr val="FFC000"/>
              </a:solidFill>
              <a:ln>
                <a:noFill/>
              </a:ln>
              <a:effectLst/>
              <a:sp3d/>
            </c:spPr>
            <c:extLst xmlns:c16r2="http://schemas.microsoft.com/office/drawing/2015/06/chart">
              <c:ext xmlns:c16="http://schemas.microsoft.com/office/drawing/2014/chart" uri="{C3380CC4-5D6E-409C-BE32-E72D297353CC}">
                <c16:uniqueId val="{00000007-0640-485A-AFDC-88A1A28D56BB}"/>
              </c:ext>
            </c:extLst>
          </c:dPt>
          <c:cat>
            <c:strRef>
              <c:f>Ejecucion!$A$68:$A$72</c:f>
              <c:strCache>
                <c:ptCount val="5"/>
                <c:pt idx="0">
                  <c:v>SUBSISTEMA DE FORMACIÓN</c:v>
                </c:pt>
                <c:pt idx="1">
                  <c:v>SUBSISTEMA DE INVESTIGACIÓN</c:v>
                </c:pt>
                <c:pt idx="2">
                  <c:v>SUBSISTEMA DE PROYECCIÓN SOCIAL</c:v>
                </c:pt>
                <c:pt idx="3">
                  <c:v>SUBSISTEMA DE BIENESTAR UNIVERSITARIO</c:v>
                </c:pt>
                <c:pt idx="4">
                  <c:v>SUBSISTEMA ADMINISTRATIVO</c:v>
                </c:pt>
              </c:strCache>
            </c:strRef>
          </c:cat>
          <c:val>
            <c:numRef>
              <c:f>Ejecucion!$C$68:$C$72</c:f>
              <c:numCache>
                <c:formatCode>0.00%</c:formatCode>
                <c:ptCount val="5"/>
                <c:pt idx="0">
                  <c:v>1</c:v>
                </c:pt>
                <c:pt idx="1">
                  <c:v>0.63747238156801178</c:v>
                </c:pt>
                <c:pt idx="2">
                  <c:v>0.93552398809523807</c:v>
                </c:pt>
                <c:pt idx="3">
                  <c:v>0.66837687748614105</c:v>
                </c:pt>
                <c:pt idx="4">
                  <c:v>0.83478715939201897</c:v>
                </c:pt>
              </c:numCache>
            </c:numRef>
          </c:val>
          <c:extLst xmlns:c16r2="http://schemas.microsoft.com/office/drawing/2015/06/chart">
            <c:ext xmlns:c16="http://schemas.microsoft.com/office/drawing/2014/chart" uri="{C3380CC4-5D6E-409C-BE32-E72D297353CC}">
              <c16:uniqueId val="{00000008-0640-485A-AFDC-88A1A28D56BB}"/>
            </c:ext>
          </c:extLst>
        </c:ser>
        <c:dLbls>
          <c:showLegendKey val="0"/>
          <c:showVal val="0"/>
          <c:showCatName val="0"/>
          <c:showSerName val="0"/>
          <c:showPercent val="0"/>
          <c:showBubbleSize val="0"/>
        </c:dLbls>
        <c:gapWidth val="150"/>
        <c:shape val="box"/>
        <c:axId val="40363520"/>
        <c:axId val="40365056"/>
        <c:axId val="0"/>
      </c:bar3DChart>
      <c:catAx>
        <c:axId val="4036352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0365056"/>
        <c:crosses val="autoZero"/>
        <c:auto val="1"/>
        <c:lblAlgn val="ctr"/>
        <c:lblOffset val="100"/>
        <c:noMultiLvlLbl val="0"/>
      </c:catAx>
      <c:valAx>
        <c:axId val="40365056"/>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03635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Eficiencia por Subsistema 1er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Ejecucion!$C$76</c:f>
              <c:strCache>
                <c:ptCount val="1"/>
                <c:pt idx="0">
                  <c:v>I TRIMESTRE</c:v>
                </c:pt>
              </c:strCache>
            </c:strRef>
          </c:tx>
          <c:spPr>
            <a:solidFill>
              <a:schemeClr val="accent1"/>
            </a:solidFill>
            <a:ln>
              <a:noFill/>
            </a:ln>
            <a:effectLst/>
            <a:sp3d/>
          </c:spPr>
          <c:invertIfNegative val="0"/>
          <c:cat>
            <c:strRef>
              <c:f>Ejecucion!$A$77:$A$81</c:f>
              <c:strCache>
                <c:ptCount val="5"/>
                <c:pt idx="0">
                  <c:v>SUBSISTEMA DE FORMACIÓN</c:v>
                </c:pt>
                <c:pt idx="1">
                  <c:v>SUBSISTEMA DE INVESTIGACIÓN</c:v>
                </c:pt>
                <c:pt idx="2">
                  <c:v>SUBSISTEMA DE PROYECCIÓN SOCIAL</c:v>
                </c:pt>
                <c:pt idx="3">
                  <c:v>SUBSISTEMA DE BIENESTAR UNIVERSITARIO</c:v>
                </c:pt>
                <c:pt idx="4">
                  <c:v>SUBSISTEMA ADMINISTRATIVO</c:v>
                </c:pt>
              </c:strCache>
            </c:strRef>
          </c:cat>
          <c:val>
            <c:numRef>
              <c:f>Ejecucion!$C$77:$C$81</c:f>
              <c:numCache>
                <c:formatCode>0.00%</c:formatCode>
                <c:ptCount val="5"/>
                <c:pt idx="0">
                  <c:v>0.8289050142198513</c:v>
                </c:pt>
                <c:pt idx="1">
                  <c:v>0.62588255779494273</c:v>
                </c:pt>
                <c:pt idx="2">
                  <c:v>0.95685157065516901</c:v>
                </c:pt>
                <c:pt idx="3">
                  <c:v>0.98874229098212041</c:v>
                </c:pt>
                <c:pt idx="4">
                  <c:v>0.307208853748345</c:v>
                </c:pt>
              </c:numCache>
            </c:numRef>
          </c:val>
          <c:extLst xmlns:c16r2="http://schemas.microsoft.com/office/drawing/2015/06/chart">
            <c:ext xmlns:c16="http://schemas.microsoft.com/office/drawing/2014/chart" uri="{C3380CC4-5D6E-409C-BE32-E72D297353CC}">
              <c16:uniqueId val="{00000000-5D04-440F-B239-04E4FE987E3E}"/>
            </c:ext>
          </c:extLst>
        </c:ser>
        <c:dLbls>
          <c:showLegendKey val="0"/>
          <c:showVal val="0"/>
          <c:showCatName val="0"/>
          <c:showSerName val="0"/>
          <c:showPercent val="0"/>
          <c:showBubbleSize val="0"/>
        </c:dLbls>
        <c:gapWidth val="150"/>
        <c:shape val="box"/>
        <c:axId val="40381440"/>
        <c:axId val="40391424"/>
        <c:axId val="0"/>
      </c:bar3DChart>
      <c:catAx>
        <c:axId val="4038144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0391424"/>
        <c:crosses val="autoZero"/>
        <c:auto val="1"/>
        <c:lblAlgn val="ctr"/>
        <c:lblOffset val="100"/>
        <c:noMultiLvlLbl val="0"/>
      </c:catAx>
      <c:valAx>
        <c:axId val="4039142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03814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 Formación 2do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Ejecucion!$P$2</c:f>
              <c:strCache>
                <c:ptCount val="1"/>
                <c:pt idx="0">
                  <c:v>EFICIENCIA</c:v>
                </c:pt>
              </c:strCache>
            </c:strRef>
          </c:tx>
          <c:spPr>
            <a:solidFill>
              <a:schemeClr val="accent1"/>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Ejecucion!$P$3:$P$9</c:f>
              <c:numCache>
                <c:formatCode>0.00%</c:formatCode>
                <c:ptCount val="7"/>
                <c:pt idx="0">
                  <c:v>0.77098405746799303</c:v>
                </c:pt>
                <c:pt idx="1">
                  <c:v>0.90590199999999999</c:v>
                </c:pt>
                <c:pt idx="2">
                  <c:v>0.78621249579683883</c:v>
                </c:pt>
                <c:pt idx="3">
                  <c:v>0.90451097130380753</c:v>
                </c:pt>
                <c:pt idx="4">
                  <c:v>0.82388010736785533</c:v>
                </c:pt>
                <c:pt idx="5">
                  <c:v>0.93605217350210912</c:v>
                </c:pt>
                <c:pt idx="6">
                  <c:v>0.85936524324324326</c:v>
                </c:pt>
              </c:numCache>
            </c:numRef>
          </c:val>
          <c:extLst xmlns:c16r2="http://schemas.microsoft.com/office/drawing/2015/06/chart">
            <c:ext xmlns:c16="http://schemas.microsoft.com/office/drawing/2014/chart" uri="{C3380CC4-5D6E-409C-BE32-E72D297353CC}">
              <c16:uniqueId val="{00000000-71AB-4CA4-8E10-DD525591F395}"/>
            </c:ext>
          </c:extLst>
        </c:ser>
        <c:ser>
          <c:idx val="1"/>
          <c:order val="1"/>
          <c:tx>
            <c:strRef>
              <c:f>Ejecucion!$Q$2</c:f>
              <c:strCache>
                <c:ptCount val="1"/>
                <c:pt idx="0">
                  <c:v>EFICACIA</c:v>
                </c:pt>
              </c:strCache>
            </c:strRef>
          </c:tx>
          <c:spPr>
            <a:solidFill>
              <a:schemeClr val="accent2"/>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Ejecucion!$Q$3:$Q$9</c:f>
              <c:numCache>
                <c:formatCode>0.00%</c:formatCode>
                <c:ptCount val="7"/>
                <c:pt idx="0">
                  <c:v>0.96399999999999997</c:v>
                </c:pt>
                <c:pt idx="1">
                  <c:v>1</c:v>
                </c:pt>
                <c:pt idx="2">
                  <c:v>0.96799999999999997</c:v>
                </c:pt>
                <c:pt idx="3">
                  <c:v>1</c:v>
                </c:pt>
                <c:pt idx="4">
                  <c:v>1</c:v>
                </c:pt>
                <c:pt idx="5">
                  <c:v>1</c:v>
                </c:pt>
                <c:pt idx="6">
                  <c:v>1</c:v>
                </c:pt>
              </c:numCache>
            </c:numRef>
          </c:val>
          <c:extLst xmlns:c16r2="http://schemas.microsoft.com/office/drawing/2015/06/chart">
            <c:ext xmlns:c16="http://schemas.microsoft.com/office/drawing/2014/chart" uri="{C3380CC4-5D6E-409C-BE32-E72D297353CC}">
              <c16:uniqueId val="{00000001-71AB-4CA4-8E10-DD525591F395}"/>
            </c:ext>
          </c:extLst>
        </c:ser>
        <c:ser>
          <c:idx val="2"/>
          <c:order val="2"/>
          <c:tx>
            <c:strRef>
              <c:f>Ejecucion!$S$2</c:f>
              <c:strCache>
                <c:ptCount val="1"/>
                <c:pt idx="0">
                  <c:v>EFECTIVIDAD</c:v>
                </c:pt>
              </c:strCache>
            </c:strRef>
          </c:tx>
          <c:spPr>
            <a:solidFill>
              <a:schemeClr val="accent3"/>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Ejecucion!$S$3:$S$9</c:f>
              <c:numCache>
                <c:formatCode>0.00%</c:formatCode>
                <c:ptCount val="7"/>
                <c:pt idx="0">
                  <c:v>0.86749202873399645</c:v>
                </c:pt>
                <c:pt idx="1">
                  <c:v>0.95295099999999999</c:v>
                </c:pt>
                <c:pt idx="2">
                  <c:v>0.8771062478984194</c:v>
                </c:pt>
                <c:pt idx="3">
                  <c:v>0.95225548565190377</c:v>
                </c:pt>
                <c:pt idx="4">
                  <c:v>0.91194005368392772</c:v>
                </c:pt>
                <c:pt idx="5">
                  <c:v>0.96802608675105462</c:v>
                </c:pt>
                <c:pt idx="6">
                  <c:v>0.92968262162162163</c:v>
                </c:pt>
              </c:numCache>
            </c:numRef>
          </c:val>
          <c:extLst xmlns:c16r2="http://schemas.microsoft.com/office/drawing/2015/06/chart">
            <c:ext xmlns:c16="http://schemas.microsoft.com/office/drawing/2014/chart" uri="{C3380CC4-5D6E-409C-BE32-E72D297353CC}">
              <c16:uniqueId val="{00000002-71AB-4CA4-8E10-DD525591F395}"/>
            </c:ext>
          </c:extLst>
        </c:ser>
        <c:dLbls>
          <c:showLegendKey val="0"/>
          <c:showVal val="0"/>
          <c:showCatName val="0"/>
          <c:showSerName val="0"/>
          <c:showPercent val="0"/>
          <c:showBubbleSize val="0"/>
        </c:dLbls>
        <c:gapWidth val="150"/>
        <c:shape val="box"/>
        <c:axId val="40617472"/>
        <c:axId val="40619008"/>
        <c:axId val="0"/>
      </c:bar3DChart>
      <c:catAx>
        <c:axId val="40617472"/>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0619008"/>
        <c:crosses val="autoZero"/>
        <c:auto val="1"/>
        <c:lblAlgn val="ctr"/>
        <c:lblOffset val="100"/>
        <c:noMultiLvlLbl val="0"/>
      </c:catAx>
      <c:valAx>
        <c:axId val="40619008"/>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406174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6.xml"/><Relationship Id="rId3" Type="http://schemas.openxmlformats.org/officeDocument/2006/relationships/chart" Target="../charts/chart11.xml"/><Relationship Id="rId7" Type="http://schemas.openxmlformats.org/officeDocument/2006/relationships/chart" Target="../charts/chart15.xml"/><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chart" Target="../charts/chart14.xml"/><Relationship Id="rId5" Type="http://schemas.openxmlformats.org/officeDocument/2006/relationships/chart" Target="../charts/chart13.xml"/><Relationship Id="rId4" Type="http://schemas.openxmlformats.org/officeDocument/2006/relationships/chart" Target="../charts/chart12.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4.xml"/><Relationship Id="rId3" Type="http://schemas.openxmlformats.org/officeDocument/2006/relationships/chart" Target="../charts/chart19.xml"/><Relationship Id="rId7" Type="http://schemas.openxmlformats.org/officeDocument/2006/relationships/chart" Target="../charts/chart23.xml"/><Relationship Id="rId2" Type="http://schemas.openxmlformats.org/officeDocument/2006/relationships/chart" Target="../charts/chart18.xml"/><Relationship Id="rId1" Type="http://schemas.openxmlformats.org/officeDocument/2006/relationships/chart" Target="../charts/chart17.xml"/><Relationship Id="rId6" Type="http://schemas.openxmlformats.org/officeDocument/2006/relationships/chart" Target="../charts/chart22.xml"/><Relationship Id="rId5" Type="http://schemas.openxmlformats.org/officeDocument/2006/relationships/chart" Target="../charts/chart21.xml"/><Relationship Id="rId4" Type="http://schemas.openxmlformats.org/officeDocument/2006/relationships/chart" Target="../charts/chart20.xml"/></Relationships>
</file>

<file path=xl/drawings/drawing1.xml><?xml version="1.0" encoding="utf-8"?>
<xdr:wsDr xmlns:xdr="http://schemas.openxmlformats.org/drawingml/2006/spreadsheetDrawing" xmlns:a="http://schemas.openxmlformats.org/drawingml/2006/main">
  <xdr:twoCellAnchor>
    <xdr:from>
      <xdr:col>1</xdr:col>
      <xdr:colOff>190500</xdr:colOff>
      <xdr:row>4</xdr:row>
      <xdr:rowOff>57151</xdr:rowOff>
    </xdr:from>
    <xdr:to>
      <xdr:col>1</xdr:col>
      <xdr:colOff>695325</xdr:colOff>
      <xdr:row>6</xdr:row>
      <xdr:rowOff>123825</xdr:rowOff>
    </xdr:to>
    <xdr:sp macro="" textlink="">
      <xdr:nvSpPr>
        <xdr:cNvPr id="2" name="1 Elipse"/>
        <xdr:cNvSpPr/>
      </xdr:nvSpPr>
      <xdr:spPr>
        <a:xfrm>
          <a:off x="819150" y="828676"/>
          <a:ext cx="504825" cy="447674"/>
        </a:xfrm>
        <a:prstGeom prst="ellipse">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161925</xdr:colOff>
      <xdr:row>7</xdr:row>
      <xdr:rowOff>66675</xdr:rowOff>
    </xdr:from>
    <xdr:to>
      <xdr:col>1</xdr:col>
      <xdr:colOff>666750</xdr:colOff>
      <xdr:row>9</xdr:row>
      <xdr:rowOff>123825</xdr:rowOff>
    </xdr:to>
    <xdr:sp macro="" textlink="">
      <xdr:nvSpPr>
        <xdr:cNvPr id="3" name="2 Elipse"/>
        <xdr:cNvSpPr/>
      </xdr:nvSpPr>
      <xdr:spPr>
        <a:xfrm>
          <a:off x="790575" y="1409700"/>
          <a:ext cx="504825" cy="438150"/>
        </a:xfrm>
        <a:prstGeom prst="ellipse">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171450</xdr:colOff>
      <xdr:row>10</xdr:row>
      <xdr:rowOff>133350</xdr:rowOff>
    </xdr:from>
    <xdr:to>
      <xdr:col>1</xdr:col>
      <xdr:colOff>685800</xdr:colOff>
      <xdr:row>12</xdr:row>
      <xdr:rowOff>104775</xdr:rowOff>
    </xdr:to>
    <xdr:sp macro="" textlink="">
      <xdr:nvSpPr>
        <xdr:cNvPr id="4" name="3 Elipse"/>
        <xdr:cNvSpPr/>
      </xdr:nvSpPr>
      <xdr:spPr>
        <a:xfrm>
          <a:off x="800100" y="2047875"/>
          <a:ext cx="514350" cy="457200"/>
        </a:xfrm>
        <a:prstGeom prst="ellipse">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171450</xdr:colOff>
      <xdr:row>13</xdr:row>
      <xdr:rowOff>57150</xdr:rowOff>
    </xdr:from>
    <xdr:to>
      <xdr:col>1</xdr:col>
      <xdr:colOff>676275</xdr:colOff>
      <xdr:row>15</xdr:row>
      <xdr:rowOff>95251</xdr:rowOff>
    </xdr:to>
    <xdr:sp macro="" textlink="">
      <xdr:nvSpPr>
        <xdr:cNvPr id="5" name="4 Elipse"/>
        <xdr:cNvSpPr/>
      </xdr:nvSpPr>
      <xdr:spPr>
        <a:xfrm>
          <a:off x="800100" y="2686050"/>
          <a:ext cx="504825" cy="485776"/>
        </a:xfrm>
        <a:prstGeom prst="ellipse">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absolute">
    <xdr:from>
      <xdr:col>1</xdr:col>
      <xdr:colOff>314325</xdr:colOff>
      <xdr:row>46</xdr:row>
      <xdr:rowOff>104775</xdr:rowOff>
    </xdr:from>
    <xdr:to>
      <xdr:col>1</xdr:col>
      <xdr:colOff>828045</xdr:colOff>
      <xdr:row>49</xdr:row>
      <xdr:rowOff>46935</xdr:rowOff>
    </xdr:to>
    <xdr:sp macro="" textlink="">
      <xdr:nvSpPr>
        <xdr:cNvPr id="14" name="CustomShape 1"/>
        <xdr:cNvSpPr/>
      </xdr:nvSpPr>
      <xdr:spPr>
        <a:xfrm>
          <a:off x="942975" y="9086850"/>
          <a:ext cx="513720" cy="513660"/>
        </a:xfrm>
        <a:prstGeom prst="ellipse">
          <a:avLst/>
        </a:prstGeom>
        <a:solidFill>
          <a:srgbClr val="FF0000"/>
        </a:solidFill>
        <a:ln w="25560">
          <a:solidFill>
            <a:srgbClr val="3A5F8B"/>
          </a:solidFill>
          <a:round/>
        </a:ln>
      </xdr:spPr>
    </xdr:sp>
    <xdr:clientData/>
  </xdr:twoCellAnchor>
  <xdr:twoCellAnchor editAs="absolute">
    <xdr:from>
      <xdr:col>1</xdr:col>
      <xdr:colOff>295275</xdr:colOff>
      <xdr:row>49</xdr:row>
      <xdr:rowOff>123825</xdr:rowOff>
    </xdr:from>
    <xdr:to>
      <xdr:col>1</xdr:col>
      <xdr:colOff>808995</xdr:colOff>
      <xdr:row>52</xdr:row>
      <xdr:rowOff>67125</xdr:rowOff>
    </xdr:to>
    <xdr:sp macro="" textlink="">
      <xdr:nvSpPr>
        <xdr:cNvPr id="15" name="CustomShape 1"/>
        <xdr:cNvSpPr/>
      </xdr:nvSpPr>
      <xdr:spPr>
        <a:xfrm>
          <a:off x="923925" y="9677400"/>
          <a:ext cx="513720" cy="514800"/>
        </a:xfrm>
        <a:prstGeom prst="ellipse">
          <a:avLst/>
        </a:prstGeom>
        <a:solidFill>
          <a:srgbClr val="FFFF00"/>
        </a:solidFill>
        <a:ln w="25560">
          <a:solidFill>
            <a:srgbClr val="3A5F8B"/>
          </a:solidFill>
          <a:round/>
        </a:ln>
      </xdr:spPr>
    </xdr:sp>
    <xdr:clientData/>
  </xdr:twoCellAnchor>
  <xdr:twoCellAnchor editAs="absolute">
    <xdr:from>
      <xdr:col>1</xdr:col>
      <xdr:colOff>285585</xdr:colOff>
      <xdr:row>52</xdr:row>
      <xdr:rowOff>133215</xdr:rowOff>
    </xdr:from>
    <xdr:to>
      <xdr:col>1</xdr:col>
      <xdr:colOff>799305</xdr:colOff>
      <xdr:row>55</xdr:row>
      <xdr:rowOff>76515</xdr:rowOff>
    </xdr:to>
    <xdr:sp macro="" textlink="">
      <xdr:nvSpPr>
        <xdr:cNvPr id="16" name="CustomShape 1"/>
        <xdr:cNvSpPr/>
      </xdr:nvSpPr>
      <xdr:spPr>
        <a:xfrm>
          <a:off x="914235" y="10258290"/>
          <a:ext cx="513720" cy="514800"/>
        </a:xfrm>
        <a:prstGeom prst="ellipse">
          <a:avLst/>
        </a:prstGeom>
        <a:solidFill>
          <a:srgbClr val="92D050"/>
        </a:solidFill>
        <a:ln w="25560">
          <a:solidFill>
            <a:srgbClr val="3A5F8B"/>
          </a:solidFill>
          <a:round/>
        </a:ln>
      </xdr:spPr>
    </xdr:sp>
    <xdr:clientData/>
  </xdr:twoCellAnchor>
  <xdr:twoCellAnchor editAs="absolute">
    <xdr:from>
      <xdr:col>1</xdr:col>
      <xdr:colOff>276060</xdr:colOff>
      <xdr:row>55</xdr:row>
      <xdr:rowOff>161730</xdr:rowOff>
    </xdr:from>
    <xdr:to>
      <xdr:col>1</xdr:col>
      <xdr:colOff>790860</xdr:colOff>
      <xdr:row>58</xdr:row>
      <xdr:rowOff>105030</xdr:rowOff>
    </xdr:to>
    <xdr:sp macro="" textlink="">
      <xdr:nvSpPr>
        <xdr:cNvPr id="17" name="CustomShape 1"/>
        <xdr:cNvSpPr/>
      </xdr:nvSpPr>
      <xdr:spPr>
        <a:xfrm>
          <a:off x="904710" y="10858305"/>
          <a:ext cx="514800" cy="514800"/>
        </a:xfrm>
        <a:prstGeom prst="ellipse">
          <a:avLst/>
        </a:prstGeom>
        <a:solidFill>
          <a:srgbClr val="00B0F0"/>
        </a:solidFill>
        <a:ln w="25560">
          <a:solidFill>
            <a:srgbClr val="3A5F8B"/>
          </a:solidFill>
          <a:rou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30</xdr:row>
      <xdr:rowOff>0</xdr:rowOff>
    </xdr:from>
    <xdr:to>
      <xdr:col>6</xdr:col>
      <xdr:colOff>809625</xdr:colOff>
      <xdr:row>46</xdr:row>
      <xdr:rowOff>38100</xdr:rowOff>
    </xdr:to>
    <xdr:graphicFrame macro="">
      <xdr:nvGraphicFramePr>
        <xdr:cNvPr id="5"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6</xdr:col>
      <xdr:colOff>800100</xdr:colOff>
      <xdr:row>61</xdr:row>
      <xdr:rowOff>76200</xdr:rowOff>
    </xdr:to>
    <xdr:graphicFrame macro="">
      <xdr:nvGraphicFramePr>
        <xdr:cNvPr id="6" name="Gráfico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62</xdr:row>
      <xdr:rowOff>190499</xdr:rowOff>
    </xdr:from>
    <xdr:to>
      <xdr:col>6</xdr:col>
      <xdr:colOff>781050</xdr:colOff>
      <xdr:row>77</xdr:row>
      <xdr:rowOff>104774</xdr:rowOff>
    </xdr:to>
    <xdr:graphicFrame macro="">
      <xdr:nvGraphicFramePr>
        <xdr:cNvPr id="7" name="Grá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79</xdr:row>
      <xdr:rowOff>0</xdr:rowOff>
    </xdr:from>
    <xdr:to>
      <xdr:col>6</xdr:col>
      <xdr:colOff>781050</xdr:colOff>
      <xdr:row>93</xdr:row>
      <xdr:rowOff>95250</xdr:rowOff>
    </xdr:to>
    <xdr:graphicFrame macro="">
      <xdr:nvGraphicFramePr>
        <xdr:cNvPr id="8" name="Gráfico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94</xdr:row>
      <xdr:rowOff>190499</xdr:rowOff>
    </xdr:from>
    <xdr:to>
      <xdr:col>6</xdr:col>
      <xdr:colOff>771525</xdr:colOff>
      <xdr:row>111</xdr:row>
      <xdr:rowOff>161925</xdr:rowOff>
    </xdr:to>
    <xdr:graphicFrame macro="">
      <xdr:nvGraphicFramePr>
        <xdr:cNvPr id="9"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38100</xdr:colOff>
      <xdr:row>9</xdr:row>
      <xdr:rowOff>14287</xdr:rowOff>
    </xdr:from>
    <xdr:to>
      <xdr:col>6</xdr:col>
      <xdr:colOff>800100</xdr:colOff>
      <xdr:row>28</xdr:row>
      <xdr:rowOff>85725</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113</xdr:row>
      <xdr:rowOff>0</xdr:rowOff>
    </xdr:from>
    <xdr:to>
      <xdr:col>6</xdr:col>
      <xdr:colOff>771525</xdr:colOff>
      <xdr:row>127</xdr:row>
      <xdr:rowOff>95250</xdr:rowOff>
    </xdr:to>
    <xdr:graphicFrame macro="">
      <xdr:nvGraphicFramePr>
        <xdr:cNvPr id="10" name="Gráfico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127</xdr:row>
      <xdr:rowOff>190499</xdr:rowOff>
    </xdr:from>
    <xdr:to>
      <xdr:col>6</xdr:col>
      <xdr:colOff>762000</xdr:colOff>
      <xdr:row>142</xdr:row>
      <xdr:rowOff>104774</xdr:rowOff>
    </xdr:to>
    <xdr:graphicFrame macro="">
      <xdr:nvGraphicFramePr>
        <xdr:cNvPr id="11" name="Gráfico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30</xdr:row>
      <xdr:rowOff>0</xdr:rowOff>
    </xdr:from>
    <xdr:to>
      <xdr:col>6</xdr:col>
      <xdr:colOff>847397</xdr:colOff>
      <xdr:row>46</xdr:row>
      <xdr:rowOff>38100</xdr:rowOff>
    </xdr:to>
    <xdr:graphicFrame macro="">
      <xdr:nvGraphicFramePr>
        <xdr:cNvPr id="2"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7</xdr:col>
      <xdr:colOff>19706</xdr:colOff>
      <xdr:row>61</xdr:row>
      <xdr:rowOff>76200</xdr:rowOff>
    </xdr:to>
    <xdr:graphicFrame macro="">
      <xdr:nvGraphicFramePr>
        <xdr:cNvPr id="3" name="Gráfico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62</xdr:row>
      <xdr:rowOff>190499</xdr:rowOff>
    </xdr:from>
    <xdr:to>
      <xdr:col>6</xdr:col>
      <xdr:colOff>847397</xdr:colOff>
      <xdr:row>77</xdr:row>
      <xdr:rowOff>104774</xdr:rowOff>
    </xdr:to>
    <xdr:graphicFrame macro="">
      <xdr:nvGraphicFramePr>
        <xdr:cNvPr id="4" name="Grá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79</xdr:row>
      <xdr:rowOff>0</xdr:rowOff>
    </xdr:from>
    <xdr:to>
      <xdr:col>7</xdr:col>
      <xdr:colOff>0</xdr:colOff>
      <xdr:row>93</xdr:row>
      <xdr:rowOff>95250</xdr:rowOff>
    </xdr:to>
    <xdr:graphicFrame macro="">
      <xdr:nvGraphicFramePr>
        <xdr:cNvPr id="5" name="Gráfico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94</xdr:row>
      <xdr:rowOff>190498</xdr:rowOff>
    </xdr:from>
    <xdr:to>
      <xdr:col>7</xdr:col>
      <xdr:colOff>6569</xdr:colOff>
      <xdr:row>111</xdr:row>
      <xdr:rowOff>164223</xdr:rowOff>
    </xdr:to>
    <xdr:graphicFrame macro="">
      <xdr:nvGraphicFramePr>
        <xdr:cNvPr id="6"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38099</xdr:colOff>
      <xdr:row>9</xdr:row>
      <xdr:rowOff>14287</xdr:rowOff>
    </xdr:from>
    <xdr:to>
      <xdr:col>6</xdr:col>
      <xdr:colOff>860534</xdr:colOff>
      <xdr:row>29</xdr:row>
      <xdr:rowOff>47625</xdr:rowOff>
    </xdr:to>
    <xdr:graphicFrame macro="">
      <xdr:nvGraphicFramePr>
        <xdr:cNvPr id="7"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113</xdr:row>
      <xdr:rowOff>0</xdr:rowOff>
    </xdr:from>
    <xdr:to>
      <xdr:col>6</xdr:col>
      <xdr:colOff>847397</xdr:colOff>
      <xdr:row>127</xdr:row>
      <xdr:rowOff>95250</xdr:rowOff>
    </xdr:to>
    <xdr:graphicFrame macro="">
      <xdr:nvGraphicFramePr>
        <xdr:cNvPr id="8" name="Gráfico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127</xdr:row>
      <xdr:rowOff>190499</xdr:rowOff>
    </xdr:from>
    <xdr:to>
      <xdr:col>6</xdr:col>
      <xdr:colOff>860535</xdr:colOff>
      <xdr:row>142</xdr:row>
      <xdr:rowOff>104774</xdr:rowOff>
    </xdr:to>
    <xdr:graphicFrame macro="">
      <xdr:nvGraphicFramePr>
        <xdr:cNvPr id="9" name="Gráfico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30</xdr:row>
      <xdr:rowOff>0</xdr:rowOff>
    </xdr:from>
    <xdr:to>
      <xdr:col>6</xdr:col>
      <xdr:colOff>847397</xdr:colOff>
      <xdr:row>46</xdr:row>
      <xdr:rowOff>38100</xdr:rowOff>
    </xdr:to>
    <xdr:graphicFrame macro="">
      <xdr:nvGraphicFramePr>
        <xdr:cNvPr id="2"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7</xdr:col>
      <xdr:colOff>19706</xdr:colOff>
      <xdr:row>61</xdr:row>
      <xdr:rowOff>76200</xdr:rowOff>
    </xdr:to>
    <xdr:graphicFrame macro="">
      <xdr:nvGraphicFramePr>
        <xdr:cNvPr id="3" name="Gráfico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62</xdr:row>
      <xdr:rowOff>190499</xdr:rowOff>
    </xdr:from>
    <xdr:to>
      <xdr:col>6</xdr:col>
      <xdr:colOff>847397</xdr:colOff>
      <xdr:row>77</xdr:row>
      <xdr:rowOff>104774</xdr:rowOff>
    </xdr:to>
    <xdr:graphicFrame macro="">
      <xdr:nvGraphicFramePr>
        <xdr:cNvPr id="4" name="Grá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79</xdr:row>
      <xdr:rowOff>0</xdr:rowOff>
    </xdr:from>
    <xdr:to>
      <xdr:col>7</xdr:col>
      <xdr:colOff>0</xdr:colOff>
      <xdr:row>93</xdr:row>
      <xdr:rowOff>95250</xdr:rowOff>
    </xdr:to>
    <xdr:graphicFrame macro="">
      <xdr:nvGraphicFramePr>
        <xdr:cNvPr id="5" name="Gráfico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94</xdr:row>
      <xdr:rowOff>190498</xdr:rowOff>
    </xdr:from>
    <xdr:to>
      <xdr:col>7</xdr:col>
      <xdr:colOff>6569</xdr:colOff>
      <xdr:row>111</xdr:row>
      <xdr:rowOff>164223</xdr:rowOff>
    </xdr:to>
    <xdr:graphicFrame macro="">
      <xdr:nvGraphicFramePr>
        <xdr:cNvPr id="6"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38099</xdr:colOff>
      <xdr:row>9</xdr:row>
      <xdr:rowOff>14287</xdr:rowOff>
    </xdr:from>
    <xdr:to>
      <xdr:col>6</xdr:col>
      <xdr:colOff>860534</xdr:colOff>
      <xdr:row>29</xdr:row>
      <xdr:rowOff>47625</xdr:rowOff>
    </xdr:to>
    <xdr:graphicFrame macro="">
      <xdr:nvGraphicFramePr>
        <xdr:cNvPr id="7"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113</xdr:row>
      <xdr:rowOff>0</xdr:rowOff>
    </xdr:from>
    <xdr:to>
      <xdr:col>6</xdr:col>
      <xdr:colOff>847397</xdr:colOff>
      <xdr:row>127</xdr:row>
      <xdr:rowOff>95250</xdr:rowOff>
    </xdr:to>
    <xdr:graphicFrame macro="">
      <xdr:nvGraphicFramePr>
        <xdr:cNvPr id="8" name="Gráfico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127</xdr:row>
      <xdr:rowOff>190499</xdr:rowOff>
    </xdr:from>
    <xdr:to>
      <xdr:col>6</xdr:col>
      <xdr:colOff>860535</xdr:colOff>
      <xdr:row>142</xdr:row>
      <xdr:rowOff>104774</xdr:rowOff>
    </xdr:to>
    <xdr:graphicFrame macro="">
      <xdr:nvGraphicFramePr>
        <xdr:cNvPr id="9" name="Gráfico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1704975</xdr:colOff>
      <xdr:row>32</xdr:row>
      <xdr:rowOff>0</xdr:rowOff>
    </xdr:from>
    <xdr:to>
      <xdr:col>2</xdr:col>
      <xdr:colOff>1885950</xdr:colOff>
      <xdr:row>32</xdr:row>
      <xdr:rowOff>266700</xdr:rowOff>
    </xdr:to>
    <xdr:sp macro="" textlink="">
      <xdr:nvSpPr>
        <xdr:cNvPr id="2" name="Cuadro de texto 12"/>
        <xdr:cNvSpPr txBox="1"/>
      </xdr:nvSpPr>
      <xdr:spPr>
        <a:xfrm>
          <a:off x="4457700" y="10906125"/>
          <a:ext cx="180975"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16"/>
  <sheetViews>
    <sheetView zoomScaleNormal="100" workbookViewId="0">
      <selection activeCell="E17" sqref="E17"/>
    </sheetView>
  </sheetViews>
  <sheetFormatPr baseColWidth="10" defaultRowHeight="15" x14ac:dyDescent="0.25"/>
  <cols>
    <col min="1" max="1" width="9.42578125" customWidth="1"/>
    <col min="2" max="2" width="13" customWidth="1"/>
    <col min="3" max="3" width="21" customWidth="1"/>
    <col min="4" max="4" width="31.140625" customWidth="1"/>
  </cols>
  <sheetData>
    <row r="3" spans="1:4" ht="15.75" thickBot="1" x14ac:dyDescent="0.3"/>
    <row r="4" spans="1:4" ht="15.75" customHeight="1" thickBot="1" x14ac:dyDescent="0.3">
      <c r="A4" s="256"/>
      <c r="B4" s="212" t="s">
        <v>822</v>
      </c>
      <c r="C4" s="212" t="s">
        <v>823</v>
      </c>
      <c r="D4" s="212" t="s">
        <v>824</v>
      </c>
    </row>
    <row r="5" spans="1:4" ht="15" customHeight="1" thickBot="1" x14ac:dyDescent="0.3">
      <c r="A5" s="256"/>
      <c r="B5" s="258"/>
      <c r="C5" s="258" t="s">
        <v>839</v>
      </c>
      <c r="D5" s="257" t="s">
        <v>840</v>
      </c>
    </row>
    <row r="6" spans="1:4" ht="15" customHeight="1" thickBot="1" x14ac:dyDescent="0.3">
      <c r="A6" s="256"/>
      <c r="B6" s="258"/>
      <c r="C6" s="258"/>
      <c r="D6" s="257"/>
    </row>
    <row r="7" spans="1:4" ht="15" customHeight="1" thickBot="1" x14ac:dyDescent="0.3">
      <c r="A7" s="256"/>
      <c r="B7" s="258"/>
      <c r="C7" s="258"/>
      <c r="D7" s="257"/>
    </row>
    <row r="8" spans="1:4" ht="15" customHeight="1" thickBot="1" x14ac:dyDescent="0.3">
      <c r="A8" s="256"/>
      <c r="B8" s="258"/>
      <c r="C8" s="257" t="s">
        <v>844</v>
      </c>
      <c r="D8" s="257" t="s">
        <v>841</v>
      </c>
    </row>
    <row r="9" spans="1:4" ht="15" customHeight="1" thickBot="1" x14ac:dyDescent="0.3">
      <c r="A9" s="256"/>
      <c r="B9" s="258"/>
      <c r="C9" s="257"/>
      <c r="D9" s="257"/>
    </row>
    <row r="10" spans="1:4" ht="15" customHeight="1" thickBot="1" x14ac:dyDescent="0.3">
      <c r="A10" s="256"/>
      <c r="B10" s="258"/>
      <c r="C10" s="257"/>
      <c r="D10" s="257"/>
    </row>
    <row r="11" spans="1:4" ht="21.75" customHeight="1" thickBot="1" x14ac:dyDescent="0.3">
      <c r="A11" s="256"/>
      <c r="B11" s="258"/>
      <c r="C11" s="257" t="s">
        <v>845</v>
      </c>
      <c r="D11" s="257" t="s">
        <v>842</v>
      </c>
    </row>
    <row r="12" spans="1:4" ht="16.5" customHeight="1" thickBot="1" x14ac:dyDescent="0.3">
      <c r="A12" s="256"/>
      <c r="B12" s="258"/>
      <c r="C12" s="257"/>
      <c r="D12" s="257"/>
    </row>
    <row r="13" spans="1:4" ht="18" customHeight="1" thickBot="1" x14ac:dyDescent="0.3">
      <c r="A13" s="256"/>
      <c r="B13" s="258"/>
      <c r="C13" s="257"/>
      <c r="D13" s="257"/>
    </row>
    <row r="14" spans="1:4" ht="19.5" customHeight="1" thickBot="1" x14ac:dyDescent="0.3">
      <c r="A14" s="256"/>
      <c r="B14" s="258"/>
      <c r="C14" s="259">
        <v>1</v>
      </c>
      <c r="D14" s="257" t="s">
        <v>843</v>
      </c>
    </row>
    <row r="15" spans="1:4" ht="15.75" customHeight="1" thickBot="1" x14ac:dyDescent="0.3">
      <c r="A15" s="256"/>
      <c r="B15" s="258"/>
      <c r="C15" s="257"/>
      <c r="D15" s="257"/>
    </row>
    <row r="16" spans="1:4" ht="14.25" customHeight="1" thickBot="1" x14ac:dyDescent="0.3">
      <c r="A16" s="256"/>
      <c r="B16" s="258"/>
      <c r="C16" s="257"/>
      <c r="D16" s="257"/>
    </row>
  </sheetData>
  <mergeCells count="13">
    <mergeCell ref="A4:A16"/>
    <mergeCell ref="D11:D13"/>
    <mergeCell ref="C11:C13"/>
    <mergeCell ref="B11:B13"/>
    <mergeCell ref="B14:B16"/>
    <mergeCell ref="C14:C16"/>
    <mergeCell ref="D14:D16"/>
    <mergeCell ref="D8:D10"/>
    <mergeCell ref="C8:C10"/>
    <mergeCell ref="B8:B10"/>
    <mergeCell ref="D5:D7"/>
    <mergeCell ref="C5:C7"/>
    <mergeCell ref="B5:B7"/>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8"/>
  <sheetViews>
    <sheetView workbookViewId="0">
      <selection activeCell="B20" sqref="B20"/>
    </sheetView>
  </sheetViews>
  <sheetFormatPr baseColWidth="10" defaultRowHeight="15" x14ac:dyDescent="0.25"/>
  <cols>
    <col min="1" max="1" width="6.85546875" bestFit="1" customWidth="1"/>
    <col min="2" max="2" width="83" customWidth="1"/>
  </cols>
  <sheetData>
    <row r="1" spans="1:2" x14ac:dyDescent="0.25">
      <c r="A1" s="81" t="s">
        <v>183</v>
      </c>
      <c r="B1" s="65" t="s">
        <v>15</v>
      </c>
    </row>
    <row r="2" spans="1:2" x14ac:dyDescent="0.25">
      <c r="A2" s="81" t="s">
        <v>184</v>
      </c>
      <c r="B2" s="65" t="s">
        <v>287</v>
      </c>
    </row>
    <row r="3" spans="1:2" x14ac:dyDescent="0.25">
      <c r="A3" s="81" t="s">
        <v>214</v>
      </c>
      <c r="B3" s="65" t="s">
        <v>21</v>
      </c>
    </row>
    <row r="4" spans="1:2" x14ac:dyDescent="0.25">
      <c r="A4" s="81" t="s">
        <v>225</v>
      </c>
      <c r="B4" s="65" t="s">
        <v>261</v>
      </c>
    </row>
    <row r="5" spans="1:2" x14ac:dyDescent="0.25">
      <c r="A5" s="81" t="s">
        <v>235</v>
      </c>
      <c r="B5" s="65" t="s">
        <v>27</v>
      </c>
    </row>
    <row r="6" spans="1:2" x14ac:dyDescent="0.25">
      <c r="A6" s="81" t="s">
        <v>237</v>
      </c>
      <c r="B6" s="65" t="s">
        <v>29</v>
      </c>
    </row>
    <row r="7" spans="1:2" x14ac:dyDescent="0.25">
      <c r="A7" s="81" t="s">
        <v>241</v>
      </c>
      <c r="B7" s="65" t="s">
        <v>294</v>
      </c>
    </row>
    <row r="8" spans="1:2" x14ac:dyDescent="0.25">
      <c r="A8" s="81" t="s">
        <v>295</v>
      </c>
      <c r="B8" s="65" t="s">
        <v>35</v>
      </c>
    </row>
    <row r="9" spans="1:2" x14ac:dyDescent="0.25">
      <c r="A9" s="81" t="s">
        <v>309</v>
      </c>
      <c r="B9" s="65" t="s">
        <v>39</v>
      </c>
    </row>
    <row r="10" spans="1:2" x14ac:dyDescent="0.25">
      <c r="A10" s="81" t="s">
        <v>324</v>
      </c>
      <c r="B10" s="65" t="s">
        <v>46</v>
      </c>
    </row>
    <row r="11" spans="1:2" x14ac:dyDescent="0.25">
      <c r="A11" s="81" t="s">
        <v>333</v>
      </c>
      <c r="B11" s="65" t="s">
        <v>50</v>
      </c>
    </row>
    <row r="12" spans="1:2" x14ac:dyDescent="0.25">
      <c r="A12" s="81" t="s">
        <v>336</v>
      </c>
      <c r="B12" s="65" t="s">
        <v>53</v>
      </c>
    </row>
    <row r="13" spans="1:2" x14ac:dyDescent="0.25">
      <c r="A13" s="81" t="s">
        <v>341</v>
      </c>
      <c r="B13" s="65" t="s">
        <v>55</v>
      </c>
    </row>
    <row r="14" spans="1:2" ht="25.5" x14ac:dyDescent="0.25">
      <c r="A14" s="81" t="s">
        <v>346</v>
      </c>
      <c r="B14" s="65" t="s">
        <v>506</v>
      </c>
    </row>
    <row r="15" spans="1:2" x14ac:dyDescent="0.25">
      <c r="A15" s="81" t="s">
        <v>349</v>
      </c>
      <c r="B15" s="65" t="s">
        <v>60</v>
      </c>
    </row>
    <row r="16" spans="1:2" x14ac:dyDescent="0.25">
      <c r="A16" s="81" t="s">
        <v>356</v>
      </c>
      <c r="B16" s="65" t="s">
        <v>62</v>
      </c>
    </row>
    <row r="17" spans="1:2" x14ac:dyDescent="0.25">
      <c r="A17" s="81" t="s">
        <v>374</v>
      </c>
      <c r="B17" s="65" t="s">
        <v>68</v>
      </c>
    </row>
    <row r="18" spans="1:2" x14ac:dyDescent="0.25">
      <c r="A18" s="81" t="s">
        <v>381</v>
      </c>
      <c r="B18" s="65" t="s">
        <v>73</v>
      </c>
    </row>
    <row r="19" spans="1:2" x14ac:dyDescent="0.25">
      <c r="A19" s="81" t="s">
        <v>384</v>
      </c>
      <c r="B19" s="65" t="s">
        <v>507</v>
      </c>
    </row>
    <row r="20" spans="1:2" ht="25.5" x14ac:dyDescent="0.25">
      <c r="A20" s="81" t="s">
        <v>395</v>
      </c>
      <c r="B20" s="65" t="s">
        <v>508</v>
      </c>
    </row>
    <row r="21" spans="1:2" x14ac:dyDescent="0.25">
      <c r="A21" s="81" t="s">
        <v>399</v>
      </c>
      <c r="B21" s="65" t="s">
        <v>509</v>
      </c>
    </row>
    <row r="22" spans="1:2" x14ac:dyDescent="0.25">
      <c r="A22" s="81" t="s">
        <v>401</v>
      </c>
      <c r="B22" s="65" t="s">
        <v>510</v>
      </c>
    </row>
    <row r="23" spans="1:2" ht="15" customHeight="1" x14ac:dyDescent="0.25">
      <c r="A23" s="81" t="s">
        <v>403</v>
      </c>
      <c r="B23" s="65" t="s">
        <v>511</v>
      </c>
    </row>
    <row r="24" spans="1:2" x14ac:dyDescent="0.25">
      <c r="A24" s="81" t="s">
        <v>405</v>
      </c>
      <c r="B24" s="65" t="s">
        <v>512</v>
      </c>
    </row>
    <row r="25" spans="1:2" x14ac:dyDescent="0.25">
      <c r="A25" s="81" t="s">
        <v>414</v>
      </c>
      <c r="B25" s="65" t="s">
        <v>513</v>
      </c>
    </row>
    <row r="26" spans="1:2" x14ac:dyDescent="0.25">
      <c r="A26" s="81" t="s">
        <v>421</v>
      </c>
      <c r="B26" s="65" t="s">
        <v>514</v>
      </c>
    </row>
    <row r="27" spans="1:2" x14ac:dyDescent="0.25">
      <c r="A27" s="81" t="s">
        <v>424</v>
      </c>
      <c r="B27" s="65" t="s">
        <v>515</v>
      </c>
    </row>
    <row r="28" spans="1:2" x14ac:dyDescent="0.25">
      <c r="A28" s="81" t="s">
        <v>427</v>
      </c>
      <c r="B28" s="65" t="s">
        <v>516</v>
      </c>
    </row>
    <row r="29" spans="1:2" x14ac:dyDescent="0.25">
      <c r="A29" s="81" t="s">
        <v>432</v>
      </c>
      <c r="B29" s="65" t="s">
        <v>517</v>
      </c>
    </row>
    <row r="30" spans="1:2" x14ac:dyDescent="0.25">
      <c r="A30" s="81" t="s">
        <v>437</v>
      </c>
      <c r="B30" s="65" t="s">
        <v>518</v>
      </c>
    </row>
    <row r="31" spans="1:2" x14ac:dyDescent="0.25">
      <c r="A31" s="81" t="s">
        <v>440</v>
      </c>
      <c r="B31" s="65" t="s">
        <v>542</v>
      </c>
    </row>
    <row r="32" spans="1:2" x14ac:dyDescent="0.25">
      <c r="A32" s="81" t="s">
        <v>450</v>
      </c>
      <c r="B32" s="65" t="s">
        <v>131</v>
      </c>
    </row>
    <row r="33" spans="1:2" x14ac:dyDescent="0.25">
      <c r="A33" s="81" t="s">
        <v>453</v>
      </c>
      <c r="B33" s="65" t="s">
        <v>133</v>
      </c>
    </row>
    <row r="34" spans="1:2" x14ac:dyDescent="0.25">
      <c r="A34" s="81" t="s">
        <v>472</v>
      </c>
      <c r="B34" s="65" t="s">
        <v>519</v>
      </c>
    </row>
    <row r="35" spans="1:2" x14ac:dyDescent="0.25">
      <c r="A35" s="81" t="s">
        <v>500</v>
      </c>
      <c r="B35" s="65" t="s">
        <v>520</v>
      </c>
    </row>
    <row r="36" spans="1:2" x14ac:dyDescent="0.25">
      <c r="A36" s="81" t="s">
        <v>483</v>
      </c>
      <c r="B36" s="65" t="s">
        <v>521</v>
      </c>
    </row>
    <row r="37" spans="1:2" x14ac:dyDescent="0.25">
      <c r="A37" s="81" t="s">
        <v>501</v>
      </c>
      <c r="B37" s="65" t="s">
        <v>522</v>
      </c>
    </row>
    <row r="38" spans="1:2" x14ac:dyDescent="0.25">
      <c r="A38" s="81" t="s">
        <v>486</v>
      </c>
      <c r="B38" s="65" t="s">
        <v>523</v>
      </c>
    </row>
  </sheetData>
  <customSheetViews>
    <customSheetView guid="{FC774746-3857-4381-B35D-AC071296263D}" state="hidden" topLeftCell="A7">
      <selection activeCell="E20" sqref="E20"/>
      <pageMargins left="0.7" right="0.7" top="0.75" bottom="0.75" header="0.3" footer="0.3"/>
      <pageSetup paperSize="9" orientation="portrait" r:id="rId1"/>
    </customSheetView>
  </customSheetViews>
  <pageMargins left="0.7" right="0.7"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32"/>
  <sheetViews>
    <sheetView topLeftCell="A69" workbookViewId="0">
      <selection activeCell="B20" sqref="B20"/>
    </sheetView>
  </sheetViews>
  <sheetFormatPr baseColWidth="10" defaultRowHeight="15" x14ac:dyDescent="0.25"/>
  <cols>
    <col min="2" max="2" width="29.85546875" customWidth="1"/>
    <col min="3" max="3" width="28.85546875" customWidth="1"/>
    <col min="6" max="6" width="6.28515625" bestFit="1" customWidth="1"/>
    <col min="7" max="13" width="5.7109375" bestFit="1" customWidth="1"/>
    <col min="14" max="14" width="5.28515625" bestFit="1" customWidth="1"/>
    <col min="15" max="15" width="5.7109375" bestFit="1" customWidth="1"/>
    <col min="17" max="17" width="8.5703125" customWidth="1"/>
    <col min="18" max="26" width="5" bestFit="1" customWidth="1"/>
  </cols>
  <sheetData>
    <row r="1" spans="1:29" ht="15.75" thickBot="1" x14ac:dyDescent="0.3"/>
    <row r="2" spans="1:29" ht="15.75" thickBot="1" x14ac:dyDescent="0.3">
      <c r="A2" s="322" t="s">
        <v>7</v>
      </c>
      <c r="B2" s="322" t="s">
        <v>8</v>
      </c>
      <c r="C2" s="322" t="s">
        <v>9</v>
      </c>
      <c r="D2" s="322" t="s">
        <v>10</v>
      </c>
      <c r="E2" s="322" t="s">
        <v>11</v>
      </c>
      <c r="F2" s="324" t="s">
        <v>12</v>
      </c>
      <c r="G2" s="325"/>
      <c r="H2" s="325"/>
      <c r="I2" s="325"/>
      <c r="J2" s="325"/>
      <c r="K2" s="325"/>
      <c r="L2" s="325"/>
      <c r="M2" s="325"/>
      <c r="N2" s="325"/>
      <c r="O2" s="326"/>
      <c r="Q2" s="315" t="s">
        <v>13</v>
      </c>
      <c r="R2" s="315"/>
      <c r="S2" s="315"/>
      <c r="T2" s="315"/>
      <c r="U2" s="315"/>
      <c r="V2" s="315"/>
      <c r="W2" s="315"/>
      <c r="X2" s="315"/>
      <c r="Y2" s="315"/>
      <c r="Z2" s="315"/>
    </row>
    <row r="3" spans="1:29" ht="15.75" thickBot="1" x14ac:dyDescent="0.3">
      <c r="A3" s="323"/>
      <c r="B3" s="323"/>
      <c r="C3" s="323"/>
      <c r="D3" s="323"/>
      <c r="E3" s="323"/>
      <c r="F3" s="1">
        <v>2015</v>
      </c>
      <c r="G3" s="1">
        <v>2016</v>
      </c>
      <c r="H3" s="1">
        <v>2017</v>
      </c>
      <c r="I3" s="1">
        <v>2018</v>
      </c>
      <c r="J3" s="1">
        <v>2019</v>
      </c>
      <c r="K3" s="1">
        <v>2020</v>
      </c>
      <c r="L3" s="1">
        <v>2021</v>
      </c>
      <c r="M3" s="1">
        <v>2022</v>
      </c>
      <c r="N3" s="1">
        <v>2023</v>
      </c>
      <c r="O3" s="1">
        <v>2024</v>
      </c>
      <c r="Q3" s="2">
        <v>2015</v>
      </c>
      <c r="R3" s="2">
        <v>2016</v>
      </c>
      <c r="S3" s="2">
        <v>2017</v>
      </c>
      <c r="T3" s="2">
        <v>2018</v>
      </c>
      <c r="U3" s="2">
        <v>2019</v>
      </c>
      <c r="V3" s="2">
        <v>2020</v>
      </c>
      <c r="W3" s="2">
        <v>2021</v>
      </c>
      <c r="X3" s="2">
        <v>2022</v>
      </c>
      <c r="Y3" s="2">
        <v>2023</v>
      </c>
      <c r="Z3" s="2">
        <v>2024</v>
      </c>
    </row>
    <row r="4" spans="1:29" ht="39" thickBot="1" x14ac:dyDescent="0.3">
      <c r="A4" s="316" t="s">
        <v>14</v>
      </c>
      <c r="B4" s="3" t="s">
        <v>15</v>
      </c>
      <c r="C4" s="4" t="s">
        <v>16</v>
      </c>
      <c r="D4" s="5">
        <v>1150</v>
      </c>
      <c r="E4" s="6">
        <v>40009</v>
      </c>
      <c r="F4" s="7">
        <v>2</v>
      </c>
      <c r="G4" s="7">
        <v>2</v>
      </c>
      <c r="H4" s="7">
        <v>3</v>
      </c>
      <c r="I4" s="7">
        <v>3.01</v>
      </c>
      <c r="J4" s="7">
        <v>3.78</v>
      </c>
      <c r="K4" s="7">
        <v>4</v>
      </c>
      <c r="L4" s="7">
        <v>4</v>
      </c>
      <c r="M4" s="7">
        <v>4</v>
      </c>
      <c r="N4" s="7">
        <v>4</v>
      </c>
      <c r="O4" s="7">
        <v>4</v>
      </c>
      <c r="P4">
        <f>T4/3</f>
        <v>1153.8333333333333</v>
      </c>
      <c r="Q4" s="8">
        <f>D4</f>
        <v>1150</v>
      </c>
      <c r="R4" s="8">
        <f>D4*G4</f>
        <v>2300</v>
      </c>
      <c r="S4" s="8">
        <f>D4*H4</f>
        <v>3450</v>
      </c>
      <c r="T4" s="8">
        <f>D4*I4</f>
        <v>3461.4999999999995</v>
      </c>
      <c r="U4" s="8">
        <f>D4*J4</f>
        <v>4347</v>
      </c>
      <c r="V4" s="8">
        <f>D4*K4</f>
        <v>4600</v>
      </c>
      <c r="W4" s="8">
        <f>D4*L4</f>
        <v>4600</v>
      </c>
      <c r="X4" s="8">
        <f>D4*M4</f>
        <v>4600</v>
      </c>
      <c r="Y4" s="8">
        <f>D4*N4</f>
        <v>4600</v>
      </c>
      <c r="Z4" s="8">
        <f>D4*O4</f>
        <v>4600</v>
      </c>
      <c r="AA4" s="9">
        <f>SUM(Q4:Z4)</f>
        <v>37708.5</v>
      </c>
      <c r="AB4">
        <f>D4*F4</f>
        <v>2300</v>
      </c>
      <c r="AC4">
        <f>AB4*H4</f>
        <v>6900</v>
      </c>
    </row>
    <row r="5" spans="1:29" ht="15.75" customHeight="1" thickBot="1" x14ac:dyDescent="0.3">
      <c r="A5" s="317"/>
      <c r="B5" s="319" t="s">
        <v>17</v>
      </c>
      <c r="C5" s="4" t="s">
        <v>18</v>
      </c>
      <c r="D5" s="10">
        <v>27</v>
      </c>
      <c r="E5" s="10">
        <v>32</v>
      </c>
      <c r="F5" s="7">
        <v>0</v>
      </c>
      <c r="G5" s="11">
        <v>3.5999999999999997E-2</v>
      </c>
      <c r="H5" s="7">
        <v>0</v>
      </c>
      <c r="I5" s="11">
        <v>3.5999999999999997E-2</v>
      </c>
      <c r="J5" s="7">
        <v>0</v>
      </c>
      <c r="K5" s="11">
        <v>3.5999999999999997E-2</v>
      </c>
      <c r="L5" s="7">
        <v>0</v>
      </c>
      <c r="M5" s="11">
        <v>3.5999999999999997E-2</v>
      </c>
      <c r="N5" s="7">
        <v>0</v>
      </c>
      <c r="O5" s="11">
        <v>3.5999999999999997E-2</v>
      </c>
      <c r="Q5" s="8">
        <f t="shared" ref="Q5:Q15" si="0">D5</f>
        <v>27</v>
      </c>
      <c r="R5" s="8">
        <f t="shared" ref="R5:R15" si="1">D5*G5</f>
        <v>0.97199999999999998</v>
      </c>
      <c r="S5" s="8">
        <f t="shared" ref="S5:S15" si="2">D5*H5</f>
        <v>0</v>
      </c>
      <c r="T5" s="8">
        <f t="shared" ref="T5:T15" si="3">D5*I5</f>
        <v>0.97199999999999998</v>
      </c>
      <c r="U5" s="8">
        <f t="shared" ref="U5:U15" si="4">D5*J5</f>
        <v>0</v>
      </c>
      <c r="V5" s="8">
        <f t="shared" ref="V5:V15" si="5">D5*K5</f>
        <v>0.97199999999999998</v>
      </c>
      <c r="W5" s="8">
        <f t="shared" ref="W5:W15" si="6">D5*L5</f>
        <v>0</v>
      </c>
      <c r="X5" s="8">
        <f t="shared" ref="X5:X15" si="7">D5*M5</f>
        <v>0.97199999999999998</v>
      </c>
      <c r="Y5" s="8">
        <f t="shared" ref="Y5:Y15" si="8">D5*N5</f>
        <v>0</v>
      </c>
      <c r="Z5" s="8">
        <f t="shared" ref="Z5:Z15" si="9">D5*O5</f>
        <v>0.97199999999999998</v>
      </c>
      <c r="AA5" s="9">
        <f t="shared" ref="AA5:AA68" si="10">SUM(Q5:Z5)</f>
        <v>31.860000000000007</v>
      </c>
    </row>
    <row r="6" spans="1:29" ht="15.75" thickBot="1" x14ac:dyDescent="0.3">
      <c r="A6" s="317"/>
      <c r="B6" s="320"/>
      <c r="C6" s="4" t="s">
        <v>19</v>
      </c>
      <c r="D6" s="12">
        <v>8</v>
      </c>
      <c r="E6" s="12">
        <v>12</v>
      </c>
      <c r="F6" s="7">
        <v>0</v>
      </c>
      <c r="G6" s="7">
        <v>0.12</v>
      </c>
      <c r="H6" s="7">
        <v>0</v>
      </c>
      <c r="I6" s="7">
        <v>0.12</v>
      </c>
      <c r="J6" s="7">
        <v>0</v>
      </c>
      <c r="K6" s="7">
        <v>0.12</v>
      </c>
      <c r="L6" s="7">
        <v>0</v>
      </c>
      <c r="M6" s="7">
        <v>0.09</v>
      </c>
      <c r="N6" s="7">
        <v>0</v>
      </c>
      <c r="O6" s="7">
        <v>0.09</v>
      </c>
      <c r="Q6" s="8">
        <f t="shared" si="0"/>
        <v>8</v>
      </c>
      <c r="R6" s="8">
        <f t="shared" si="1"/>
        <v>0.96</v>
      </c>
      <c r="S6" s="8">
        <f t="shared" si="2"/>
        <v>0</v>
      </c>
      <c r="T6" s="8">
        <f t="shared" si="3"/>
        <v>0.96</v>
      </c>
      <c r="U6" s="8">
        <f t="shared" si="4"/>
        <v>0</v>
      </c>
      <c r="V6" s="8">
        <f t="shared" si="5"/>
        <v>0.96</v>
      </c>
      <c r="W6" s="8">
        <f t="shared" si="6"/>
        <v>0</v>
      </c>
      <c r="X6" s="8">
        <f t="shared" si="7"/>
        <v>0.72</v>
      </c>
      <c r="Y6" s="8">
        <f t="shared" si="8"/>
        <v>0</v>
      </c>
      <c r="Z6" s="8">
        <f t="shared" si="9"/>
        <v>0.72</v>
      </c>
      <c r="AA6" s="9">
        <f t="shared" si="10"/>
        <v>12.320000000000004</v>
      </c>
    </row>
    <row r="7" spans="1:29" ht="15.75" thickBot="1" x14ac:dyDescent="0.3">
      <c r="A7" s="317"/>
      <c r="B7" s="321"/>
      <c r="C7" s="4" t="s">
        <v>20</v>
      </c>
      <c r="D7" s="12">
        <v>2</v>
      </c>
      <c r="E7" s="12">
        <v>6</v>
      </c>
      <c r="F7" s="7">
        <v>0</v>
      </c>
      <c r="G7" s="7">
        <v>0</v>
      </c>
      <c r="H7" s="7">
        <v>1</v>
      </c>
      <c r="I7" s="7">
        <v>0</v>
      </c>
      <c r="J7" s="7">
        <v>0.3</v>
      </c>
      <c r="K7" s="7">
        <v>0</v>
      </c>
      <c r="L7" s="7">
        <v>0</v>
      </c>
      <c r="M7" s="7">
        <v>0</v>
      </c>
      <c r="N7" s="7">
        <v>0</v>
      </c>
      <c r="O7" s="7">
        <v>0.7</v>
      </c>
      <c r="Q7" s="8">
        <f t="shared" si="0"/>
        <v>2</v>
      </c>
      <c r="R7" s="8">
        <f t="shared" si="1"/>
        <v>0</v>
      </c>
      <c r="S7" s="8">
        <f t="shared" si="2"/>
        <v>2</v>
      </c>
      <c r="T7" s="8">
        <f t="shared" si="3"/>
        <v>0</v>
      </c>
      <c r="U7" s="8">
        <f t="shared" si="4"/>
        <v>0.6</v>
      </c>
      <c r="V7" s="8">
        <f t="shared" si="5"/>
        <v>0</v>
      </c>
      <c r="W7" s="8">
        <f t="shared" si="6"/>
        <v>0</v>
      </c>
      <c r="X7" s="8">
        <f t="shared" si="7"/>
        <v>0</v>
      </c>
      <c r="Y7" s="8">
        <f t="shared" si="8"/>
        <v>0</v>
      </c>
      <c r="Z7" s="8">
        <f t="shared" si="9"/>
        <v>1.4</v>
      </c>
      <c r="AA7" s="9">
        <f t="shared" si="10"/>
        <v>6</v>
      </c>
    </row>
    <row r="8" spans="1:29" ht="15.75" customHeight="1" thickBot="1" x14ac:dyDescent="0.3">
      <c r="A8" s="317"/>
      <c r="B8" s="319" t="s">
        <v>21</v>
      </c>
      <c r="C8" s="4" t="s">
        <v>20</v>
      </c>
      <c r="D8" s="12">
        <v>37</v>
      </c>
      <c r="E8" s="12">
        <v>49</v>
      </c>
      <c r="F8" s="7">
        <v>0.05</v>
      </c>
      <c r="G8" s="7">
        <v>0</v>
      </c>
      <c r="H8" s="7">
        <v>0.05</v>
      </c>
      <c r="I8" s="7">
        <v>0</v>
      </c>
      <c r="J8" s="7">
        <v>0.05</v>
      </c>
      <c r="K8" s="7">
        <v>0</v>
      </c>
      <c r="L8" s="7">
        <v>0.05</v>
      </c>
      <c r="M8" s="7">
        <v>0.05</v>
      </c>
      <c r="N8" s="7">
        <v>0.04</v>
      </c>
      <c r="O8" s="7">
        <v>0.04</v>
      </c>
      <c r="Q8" s="8">
        <f t="shared" si="0"/>
        <v>37</v>
      </c>
      <c r="R8" s="8">
        <f t="shared" si="1"/>
        <v>0</v>
      </c>
      <c r="S8" s="8">
        <f t="shared" si="2"/>
        <v>1.85</v>
      </c>
      <c r="T8" s="8">
        <f t="shared" si="3"/>
        <v>0</v>
      </c>
      <c r="U8" s="8">
        <f t="shared" si="4"/>
        <v>1.85</v>
      </c>
      <c r="V8" s="8">
        <f t="shared" si="5"/>
        <v>0</v>
      </c>
      <c r="W8" s="8">
        <f t="shared" si="6"/>
        <v>1.85</v>
      </c>
      <c r="X8" s="8">
        <f t="shared" si="7"/>
        <v>1.85</v>
      </c>
      <c r="Y8" s="8">
        <f t="shared" si="8"/>
        <v>1.48</v>
      </c>
      <c r="Z8" s="8">
        <f t="shared" si="9"/>
        <v>1.48</v>
      </c>
      <c r="AA8" s="9">
        <f t="shared" si="10"/>
        <v>47.36</v>
      </c>
    </row>
    <row r="9" spans="1:29" ht="15.75" thickBot="1" x14ac:dyDescent="0.3">
      <c r="A9" s="317"/>
      <c r="B9" s="320"/>
      <c r="C9" s="4" t="s">
        <v>22</v>
      </c>
      <c r="D9" s="12">
        <v>189</v>
      </c>
      <c r="E9" s="12">
        <v>198</v>
      </c>
      <c r="F9" s="7">
        <v>0</v>
      </c>
      <c r="G9" s="7">
        <v>0.01</v>
      </c>
      <c r="H9" s="7">
        <v>0</v>
      </c>
      <c r="I9" s="7">
        <v>0.01</v>
      </c>
      <c r="J9" s="7">
        <v>0</v>
      </c>
      <c r="K9" s="7">
        <v>0.01</v>
      </c>
      <c r="L9" s="7">
        <v>0</v>
      </c>
      <c r="M9" s="7">
        <v>0.01</v>
      </c>
      <c r="N9" s="7">
        <v>0</v>
      </c>
      <c r="O9" s="7">
        <v>0.01</v>
      </c>
      <c r="Q9" s="8">
        <f t="shared" si="0"/>
        <v>189</v>
      </c>
      <c r="R9" s="8">
        <f t="shared" si="1"/>
        <v>1.8900000000000001</v>
      </c>
      <c r="S9" s="8">
        <f t="shared" si="2"/>
        <v>0</v>
      </c>
      <c r="T9" s="8">
        <f t="shared" si="3"/>
        <v>1.8900000000000001</v>
      </c>
      <c r="U9" s="8">
        <f t="shared" si="4"/>
        <v>0</v>
      </c>
      <c r="V9" s="8">
        <f t="shared" si="5"/>
        <v>1.8900000000000001</v>
      </c>
      <c r="W9" s="8">
        <f t="shared" si="6"/>
        <v>0</v>
      </c>
      <c r="X9" s="8">
        <f t="shared" si="7"/>
        <v>1.8900000000000001</v>
      </c>
      <c r="Y9" s="8">
        <f t="shared" si="8"/>
        <v>0</v>
      </c>
      <c r="Z9" s="8">
        <f t="shared" si="9"/>
        <v>1.8900000000000001</v>
      </c>
      <c r="AA9" s="9">
        <f t="shared" si="10"/>
        <v>198.44999999999993</v>
      </c>
    </row>
    <row r="10" spans="1:29" ht="26.25" thickBot="1" x14ac:dyDescent="0.3">
      <c r="A10" s="317"/>
      <c r="B10" s="321"/>
      <c r="C10" s="4" t="s">
        <v>23</v>
      </c>
      <c r="D10" s="12">
        <v>100</v>
      </c>
      <c r="E10" s="12">
        <v>100</v>
      </c>
      <c r="F10" s="7">
        <v>0</v>
      </c>
      <c r="G10" s="7">
        <v>0</v>
      </c>
      <c r="H10" s="7">
        <v>0</v>
      </c>
      <c r="I10" s="7">
        <v>0</v>
      </c>
      <c r="J10" s="7">
        <v>0</v>
      </c>
      <c r="K10" s="7">
        <v>0</v>
      </c>
      <c r="L10" s="7">
        <v>0</v>
      </c>
      <c r="M10" s="7">
        <v>0</v>
      </c>
      <c r="N10" s="7">
        <v>0</v>
      </c>
      <c r="O10" s="7">
        <v>0</v>
      </c>
      <c r="Q10" s="8">
        <f t="shared" si="0"/>
        <v>100</v>
      </c>
      <c r="R10" s="8">
        <f t="shared" si="1"/>
        <v>0</v>
      </c>
      <c r="S10" s="8">
        <f t="shared" si="2"/>
        <v>0</v>
      </c>
      <c r="T10" s="8">
        <f t="shared" si="3"/>
        <v>0</v>
      </c>
      <c r="U10" s="8">
        <f t="shared" si="4"/>
        <v>0</v>
      </c>
      <c r="V10" s="8">
        <f t="shared" si="5"/>
        <v>0</v>
      </c>
      <c r="W10" s="8">
        <f t="shared" si="6"/>
        <v>0</v>
      </c>
      <c r="X10" s="8">
        <f t="shared" si="7"/>
        <v>0</v>
      </c>
      <c r="Y10" s="8">
        <f t="shared" si="8"/>
        <v>0</v>
      </c>
      <c r="Z10" s="8">
        <f t="shared" si="9"/>
        <v>0</v>
      </c>
      <c r="AA10" s="9">
        <f t="shared" si="10"/>
        <v>100</v>
      </c>
    </row>
    <row r="11" spans="1:29" ht="15.75" customHeight="1" thickBot="1" x14ac:dyDescent="0.3">
      <c r="A11" s="317"/>
      <c r="B11" s="319" t="s">
        <v>24</v>
      </c>
      <c r="C11" s="4" t="s">
        <v>25</v>
      </c>
      <c r="D11" s="12">
        <v>27</v>
      </c>
      <c r="E11" s="12">
        <v>31</v>
      </c>
      <c r="F11" s="7">
        <v>0</v>
      </c>
      <c r="G11" s="7">
        <v>0</v>
      </c>
      <c r="H11" s="11">
        <v>3.6999999999999998E-2</v>
      </c>
      <c r="I11" s="7">
        <v>0</v>
      </c>
      <c r="J11" s="11">
        <v>3.5000000000000003E-2</v>
      </c>
      <c r="K11" s="7">
        <v>0</v>
      </c>
      <c r="L11" s="11">
        <v>3.4000000000000002E-2</v>
      </c>
      <c r="M11" s="7">
        <v>0</v>
      </c>
      <c r="N11" s="7">
        <v>0</v>
      </c>
      <c r="O11" s="11">
        <v>3.3000000000000002E-2</v>
      </c>
      <c r="Q11" s="8">
        <f t="shared" si="0"/>
        <v>27</v>
      </c>
      <c r="R11" s="8">
        <f t="shared" si="1"/>
        <v>0</v>
      </c>
      <c r="S11" s="8">
        <f t="shared" si="2"/>
        <v>0.999</v>
      </c>
      <c r="T11" s="8">
        <f t="shared" si="3"/>
        <v>0</v>
      </c>
      <c r="U11" s="8">
        <f t="shared" si="4"/>
        <v>0.94500000000000006</v>
      </c>
      <c r="V11" s="8">
        <f t="shared" si="5"/>
        <v>0</v>
      </c>
      <c r="W11" s="8">
        <f t="shared" si="6"/>
        <v>0.91800000000000004</v>
      </c>
      <c r="X11" s="8">
        <f t="shared" si="7"/>
        <v>0</v>
      </c>
      <c r="Y11" s="8">
        <f t="shared" si="8"/>
        <v>0</v>
      </c>
      <c r="Z11" s="8">
        <f t="shared" si="9"/>
        <v>0.89100000000000001</v>
      </c>
      <c r="AA11" s="9">
        <f t="shared" si="10"/>
        <v>30.753</v>
      </c>
    </row>
    <row r="12" spans="1:29" ht="15.75" thickBot="1" x14ac:dyDescent="0.3">
      <c r="A12" s="317"/>
      <c r="B12" s="321"/>
      <c r="C12" s="4" t="s">
        <v>26</v>
      </c>
      <c r="D12" s="12">
        <v>0</v>
      </c>
      <c r="E12" s="12">
        <v>26</v>
      </c>
      <c r="F12" s="7">
        <v>0.84</v>
      </c>
      <c r="G12" s="7">
        <v>0</v>
      </c>
      <c r="H12" s="11">
        <v>4.4999999999999998E-2</v>
      </c>
      <c r="I12" s="7">
        <v>0</v>
      </c>
      <c r="J12" s="11">
        <v>4.4999999999999998E-2</v>
      </c>
      <c r="K12" s="7">
        <v>0</v>
      </c>
      <c r="L12" s="7">
        <v>0.04</v>
      </c>
      <c r="M12" s="7">
        <v>0</v>
      </c>
      <c r="N12" s="7">
        <v>0.03</v>
      </c>
      <c r="O12" s="7">
        <v>0</v>
      </c>
      <c r="Q12" s="8">
        <f t="shared" si="0"/>
        <v>0</v>
      </c>
      <c r="R12" s="8">
        <f t="shared" si="1"/>
        <v>0</v>
      </c>
      <c r="S12" s="8">
        <f t="shared" si="2"/>
        <v>0</v>
      </c>
      <c r="T12" s="8">
        <f t="shared" si="3"/>
        <v>0</v>
      </c>
      <c r="U12" s="8">
        <f t="shared" si="4"/>
        <v>0</v>
      </c>
      <c r="V12" s="8">
        <f t="shared" si="5"/>
        <v>0</v>
      </c>
      <c r="W12" s="8">
        <f t="shared" si="6"/>
        <v>0</v>
      </c>
      <c r="X12" s="8">
        <f t="shared" si="7"/>
        <v>0</v>
      </c>
      <c r="Y12" s="8">
        <f t="shared" si="8"/>
        <v>0</v>
      </c>
      <c r="Z12" s="8">
        <f t="shared" si="9"/>
        <v>0</v>
      </c>
      <c r="AA12" s="9">
        <f t="shared" si="10"/>
        <v>0</v>
      </c>
    </row>
    <row r="13" spans="1:29" ht="26.25" thickBot="1" x14ac:dyDescent="0.3">
      <c r="A13" s="317"/>
      <c r="B13" s="3" t="s">
        <v>27</v>
      </c>
      <c r="C13" s="4" t="s">
        <v>28</v>
      </c>
      <c r="D13" s="12">
        <v>0</v>
      </c>
      <c r="E13" s="13">
        <v>1</v>
      </c>
      <c r="F13" s="7">
        <v>0.3</v>
      </c>
      <c r="G13" s="7">
        <v>0.3</v>
      </c>
      <c r="H13" s="7">
        <v>0.4</v>
      </c>
      <c r="I13" s="7">
        <v>0</v>
      </c>
      <c r="J13" s="7">
        <v>0</v>
      </c>
      <c r="K13" s="7">
        <v>0</v>
      </c>
      <c r="L13" s="7">
        <v>0</v>
      </c>
      <c r="M13" s="7">
        <v>0</v>
      </c>
      <c r="N13" s="7">
        <v>0</v>
      </c>
      <c r="O13" s="7">
        <v>0</v>
      </c>
      <c r="Q13" s="8">
        <f t="shared" si="0"/>
        <v>0</v>
      </c>
      <c r="R13" s="8">
        <f t="shared" si="1"/>
        <v>0</v>
      </c>
      <c r="S13" s="8">
        <f t="shared" si="2"/>
        <v>0</v>
      </c>
      <c r="T13" s="8">
        <f t="shared" si="3"/>
        <v>0</v>
      </c>
      <c r="U13" s="8">
        <f t="shared" si="4"/>
        <v>0</v>
      </c>
      <c r="V13" s="8">
        <f t="shared" si="5"/>
        <v>0</v>
      </c>
      <c r="W13" s="8">
        <f t="shared" si="6"/>
        <v>0</v>
      </c>
      <c r="X13" s="8">
        <f t="shared" si="7"/>
        <v>0</v>
      </c>
      <c r="Y13" s="8">
        <f t="shared" si="8"/>
        <v>0</v>
      </c>
      <c r="Z13" s="8">
        <f t="shared" si="9"/>
        <v>0</v>
      </c>
      <c r="AA13" s="9">
        <f t="shared" si="10"/>
        <v>0</v>
      </c>
    </row>
    <row r="14" spans="1:29" ht="26.25" thickBot="1" x14ac:dyDescent="0.3">
      <c r="A14" s="317"/>
      <c r="B14" s="3" t="s">
        <v>29</v>
      </c>
      <c r="C14" s="4" t="s">
        <v>30</v>
      </c>
      <c r="D14" s="12">
        <v>2</v>
      </c>
      <c r="E14" s="12">
        <v>40</v>
      </c>
      <c r="F14" s="7">
        <v>11.5</v>
      </c>
      <c r="G14" s="7">
        <v>0</v>
      </c>
      <c r="H14" s="7">
        <v>0</v>
      </c>
      <c r="I14" s="7">
        <v>0</v>
      </c>
      <c r="J14" s="7">
        <v>0.2</v>
      </c>
      <c r="K14" s="7">
        <v>0</v>
      </c>
      <c r="L14" s="7">
        <v>0</v>
      </c>
      <c r="M14" s="7">
        <v>1</v>
      </c>
      <c r="N14" s="7">
        <v>0</v>
      </c>
      <c r="O14" s="7">
        <v>6.5</v>
      </c>
      <c r="Q14" s="8">
        <f t="shared" si="0"/>
        <v>2</v>
      </c>
      <c r="R14" s="8">
        <f t="shared" si="1"/>
        <v>0</v>
      </c>
      <c r="S14" s="8">
        <f t="shared" si="2"/>
        <v>0</v>
      </c>
      <c r="T14" s="8">
        <f t="shared" si="3"/>
        <v>0</v>
      </c>
      <c r="U14" s="8">
        <f t="shared" si="4"/>
        <v>0.4</v>
      </c>
      <c r="V14" s="8">
        <f t="shared" si="5"/>
        <v>0</v>
      </c>
      <c r="W14" s="8">
        <f t="shared" si="6"/>
        <v>0</v>
      </c>
      <c r="X14" s="8">
        <f t="shared" si="7"/>
        <v>2</v>
      </c>
      <c r="Y14" s="8">
        <f t="shared" si="8"/>
        <v>0</v>
      </c>
      <c r="Z14" s="8">
        <f t="shared" si="9"/>
        <v>13</v>
      </c>
      <c r="AA14" s="9">
        <f t="shared" si="10"/>
        <v>17.399999999999999</v>
      </c>
    </row>
    <row r="15" spans="1:29" ht="39" thickBot="1" x14ac:dyDescent="0.3">
      <c r="A15" s="318"/>
      <c r="B15" s="3" t="s">
        <v>31</v>
      </c>
      <c r="C15" s="4" t="s">
        <v>32</v>
      </c>
      <c r="D15" s="12">
        <v>1</v>
      </c>
      <c r="E15" s="12">
        <v>70</v>
      </c>
      <c r="F15" s="7">
        <v>9</v>
      </c>
      <c r="G15" s="7">
        <v>8</v>
      </c>
      <c r="H15" s="7">
        <v>8</v>
      </c>
      <c r="I15" s="7">
        <v>7</v>
      </c>
      <c r="J15" s="7">
        <v>7</v>
      </c>
      <c r="K15" s="7">
        <v>6</v>
      </c>
      <c r="L15" s="7">
        <v>6</v>
      </c>
      <c r="M15" s="7">
        <v>6</v>
      </c>
      <c r="N15" s="7">
        <v>6</v>
      </c>
      <c r="O15" s="7">
        <v>6</v>
      </c>
      <c r="Q15" s="8">
        <f t="shared" si="0"/>
        <v>1</v>
      </c>
      <c r="R15" s="8">
        <f t="shared" si="1"/>
        <v>8</v>
      </c>
      <c r="S15" s="8">
        <f t="shared" si="2"/>
        <v>8</v>
      </c>
      <c r="T15" s="8">
        <f t="shared" si="3"/>
        <v>7</v>
      </c>
      <c r="U15" s="8">
        <f t="shared" si="4"/>
        <v>7</v>
      </c>
      <c r="V15" s="8">
        <f t="shared" si="5"/>
        <v>6</v>
      </c>
      <c r="W15" s="8">
        <f t="shared" si="6"/>
        <v>6</v>
      </c>
      <c r="X15" s="8">
        <f t="shared" si="7"/>
        <v>6</v>
      </c>
      <c r="Y15" s="8">
        <f t="shared" si="8"/>
        <v>6</v>
      </c>
      <c r="Z15" s="8">
        <f t="shared" si="9"/>
        <v>6</v>
      </c>
      <c r="AA15" s="9">
        <f t="shared" si="10"/>
        <v>61</v>
      </c>
    </row>
    <row r="16" spans="1:29" ht="15.75" thickBot="1" x14ac:dyDescent="0.3">
      <c r="AA16" s="9"/>
    </row>
    <row r="17" spans="1:27" ht="15.75" thickBot="1" x14ac:dyDescent="0.3">
      <c r="A17" s="337" t="s">
        <v>33</v>
      </c>
      <c r="B17" s="337" t="s">
        <v>8</v>
      </c>
      <c r="C17" s="337" t="s">
        <v>9</v>
      </c>
      <c r="D17" s="337" t="s">
        <v>10</v>
      </c>
      <c r="E17" s="337" t="s">
        <v>11</v>
      </c>
      <c r="F17" s="327" t="s">
        <v>12</v>
      </c>
      <c r="G17" s="328"/>
      <c r="H17" s="328"/>
      <c r="I17" s="328"/>
      <c r="J17" s="328"/>
      <c r="K17" s="328"/>
      <c r="L17" s="328"/>
      <c r="M17" s="328"/>
      <c r="N17" s="328"/>
      <c r="O17" s="329"/>
      <c r="P17" s="14"/>
      <c r="Q17" s="327" t="s">
        <v>12</v>
      </c>
      <c r="R17" s="328"/>
      <c r="S17" s="328"/>
      <c r="T17" s="328"/>
      <c r="U17" s="328"/>
      <c r="V17" s="328"/>
      <c r="W17" s="328"/>
      <c r="X17" s="328"/>
      <c r="Y17" s="328"/>
      <c r="Z17" s="329"/>
      <c r="AA17" s="9"/>
    </row>
    <row r="18" spans="1:27" ht="15.75" thickBot="1" x14ac:dyDescent="0.3">
      <c r="A18" s="338"/>
      <c r="B18" s="338"/>
      <c r="C18" s="338"/>
      <c r="D18" s="338"/>
      <c r="E18" s="338"/>
      <c r="F18" s="15">
        <v>2015</v>
      </c>
      <c r="G18" s="15">
        <v>2016</v>
      </c>
      <c r="H18" s="15">
        <v>2017</v>
      </c>
      <c r="I18" s="15">
        <v>2018</v>
      </c>
      <c r="J18" s="15">
        <v>2019</v>
      </c>
      <c r="K18" s="15">
        <v>2020</v>
      </c>
      <c r="L18" s="15">
        <v>2021</v>
      </c>
      <c r="M18" s="15">
        <v>2022</v>
      </c>
      <c r="N18" s="16">
        <v>2023</v>
      </c>
      <c r="O18" s="15">
        <v>2024</v>
      </c>
      <c r="P18" s="17"/>
      <c r="Q18" s="15">
        <v>2015</v>
      </c>
      <c r="R18" s="15">
        <v>2016</v>
      </c>
      <c r="S18" s="15">
        <v>2017</v>
      </c>
      <c r="T18" s="15">
        <v>2018</v>
      </c>
      <c r="U18" s="15">
        <v>2019</v>
      </c>
      <c r="V18" s="15">
        <v>2020</v>
      </c>
      <c r="W18" s="15">
        <v>2021</v>
      </c>
      <c r="X18" s="15">
        <v>2022</v>
      </c>
      <c r="Y18" s="16">
        <v>2023</v>
      </c>
      <c r="Z18" s="15">
        <v>2024</v>
      </c>
      <c r="AA18" s="9"/>
    </row>
    <row r="19" spans="1:27" ht="39" thickBot="1" x14ac:dyDescent="0.3">
      <c r="A19" s="330" t="s">
        <v>34</v>
      </c>
      <c r="B19" s="333" t="s">
        <v>35</v>
      </c>
      <c r="C19" s="18" t="s">
        <v>36</v>
      </c>
      <c r="D19" s="19">
        <v>6</v>
      </c>
      <c r="E19" s="19">
        <v>46</v>
      </c>
      <c r="F19" s="20">
        <v>0.5</v>
      </c>
      <c r="G19" s="20">
        <v>0.5</v>
      </c>
      <c r="H19" s="20">
        <v>0.6</v>
      </c>
      <c r="I19" s="20">
        <v>0.7</v>
      </c>
      <c r="J19" s="20">
        <v>0.7</v>
      </c>
      <c r="K19" s="20">
        <v>0.7</v>
      </c>
      <c r="L19" s="20">
        <v>0.8</v>
      </c>
      <c r="M19" s="20">
        <v>0.9</v>
      </c>
      <c r="N19" s="21">
        <v>0.5</v>
      </c>
      <c r="O19" s="20">
        <v>0.8</v>
      </c>
      <c r="P19" s="22"/>
      <c r="Q19" s="8">
        <f>D19</f>
        <v>6</v>
      </c>
      <c r="R19" s="8">
        <f>D19*G19</f>
        <v>3</v>
      </c>
      <c r="S19" s="8">
        <f>D19*H19</f>
        <v>3.5999999999999996</v>
      </c>
      <c r="T19" s="8">
        <f>D19*I19</f>
        <v>4.1999999999999993</v>
      </c>
      <c r="U19" s="8">
        <f>D19*J19</f>
        <v>4.1999999999999993</v>
      </c>
      <c r="V19" s="8">
        <f>D19*K19</f>
        <v>4.1999999999999993</v>
      </c>
      <c r="W19" s="8">
        <f>D19*L19</f>
        <v>4.8000000000000007</v>
      </c>
      <c r="X19" s="8">
        <f>D19*M19</f>
        <v>5.4</v>
      </c>
      <c r="Y19" s="8">
        <f>D19*N19</f>
        <v>3</v>
      </c>
      <c r="Z19" s="8">
        <f>D19*O19</f>
        <v>4.8000000000000007</v>
      </c>
      <c r="AA19" s="9">
        <f t="shared" si="10"/>
        <v>43.2</v>
      </c>
    </row>
    <row r="20" spans="1:27" ht="39" thickBot="1" x14ac:dyDescent="0.3">
      <c r="A20" s="331"/>
      <c r="B20" s="334"/>
      <c r="C20" s="18" t="s">
        <v>37</v>
      </c>
      <c r="D20" s="19">
        <v>3</v>
      </c>
      <c r="E20" s="19">
        <v>33</v>
      </c>
      <c r="F20" s="20">
        <v>1</v>
      </c>
      <c r="G20" s="20">
        <v>1.1000000000000001</v>
      </c>
      <c r="H20" s="20">
        <v>1.2</v>
      </c>
      <c r="I20" s="20">
        <v>1.3</v>
      </c>
      <c r="J20" s="20">
        <v>0.8</v>
      </c>
      <c r="K20" s="20">
        <v>0.9</v>
      </c>
      <c r="L20" s="20">
        <v>0.9</v>
      </c>
      <c r="M20" s="20">
        <v>0.9</v>
      </c>
      <c r="N20" s="21">
        <v>1</v>
      </c>
      <c r="O20" s="20">
        <v>1</v>
      </c>
      <c r="P20" s="22"/>
      <c r="Q20" s="8">
        <f t="shared" ref="Q20:Q42" si="11">D20</f>
        <v>3</v>
      </c>
      <c r="R20" s="8">
        <f t="shared" ref="R20:R42" si="12">D20*G20</f>
        <v>3.3000000000000003</v>
      </c>
      <c r="S20" s="8">
        <f t="shared" ref="S20:S42" si="13">D20*H20</f>
        <v>3.5999999999999996</v>
      </c>
      <c r="T20" s="8">
        <f t="shared" ref="T20:T42" si="14">D20*I20</f>
        <v>3.9000000000000004</v>
      </c>
      <c r="U20" s="8">
        <f t="shared" ref="U20:U42" si="15">D20*J20</f>
        <v>2.4000000000000004</v>
      </c>
      <c r="V20" s="8">
        <f t="shared" ref="V20:V42" si="16">D20*K20</f>
        <v>2.7</v>
      </c>
      <c r="W20" s="8">
        <f t="shared" ref="W20:W42" si="17">D20*L20</f>
        <v>2.7</v>
      </c>
      <c r="X20" s="8">
        <f t="shared" ref="X20:X42" si="18">D20*M20</f>
        <v>2.7</v>
      </c>
      <c r="Y20" s="8">
        <f t="shared" ref="Y20:Y42" si="19">D20*N20</f>
        <v>3</v>
      </c>
      <c r="Z20" s="8">
        <f t="shared" ref="Z20:Z42" si="20">D20*O20</f>
        <v>3</v>
      </c>
      <c r="AA20" s="9">
        <f t="shared" si="10"/>
        <v>30.3</v>
      </c>
    </row>
    <row r="21" spans="1:27" ht="64.5" thickBot="1" x14ac:dyDescent="0.3">
      <c r="A21" s="331"/>
      <c r="B21" s="335"/>
      <c r="C21" s="18" t="s">
        <v>38</v>
      </c>
      <c r="D21" s="19">
        <v>5</v>
      </c>
      <c r="E21" s="19">
        <v>55</v>
      </c>
      <c r="F21" s="20">
        <v>0.3</v>
      </c>
      <c r="G21" s="20">
        <v>0.5</v>
      </c>
      <c r="H21" s="20">
        <v>0.8</v>
      </c>
      <c r="I21" s="20">
        <v>1</v>
      </c>
      <c r="J21" s="20">
        <v>1</v>
      </c>
      <c r="K21" s="20">
        <v>1</v>
      </c>
      <c r="L21" s="20">
        <v>1.2</v>
      </c>
      <c r="M21" s="20">
        <v>1.3</v>
      </c>
      <c r="N21" s="21">
        <v>1.5</v>
      </c>
      <c r="O21" s="20">
        <v>1.4</v>
      </c>
      <c r="P21" s="22"/>
      <c r="Q21" s="8">
        <f t="shared" si="11"/>
        <v>5</v>
      </c>
      <c r="R21" s="8">
        <f t="shared" si="12"/>
        <v>2.5</v>
      </c>
      <c r="S21" s="8">
        <f t="shared" si="13"/>
        <v>4</v>
      </c>
      <c r="T21" s="8">
        <f t="shared" si="14"/>
        <v>5</v>
      </c>
      <c r="U21" s="8">
        <f t="shared" si="15"/>
        <v>5</v>
      </c>
      <c r="V21" s="8">
        <f t="shared" si="16"/>
        <v>5</v>
      </c>
      <c r="W21" s="8">
        <f t="shared" si="17"/>
        <v>6</v>
      </c>
      <c r="X21" s="8">
        <f t="shared" si="18"/>
        <v>6.5</v>
      </c>
      <c r="Y21" s="8">
        <f t="shared" si="19"/>
        <v>7.5</v>
      </c>
      <c r="Z21" s="8">
        <f t="shared" si="20"/>
        <v>7</v>
      </c>
      <c r="AA21" s="9">
        <f t="shared" si="10"/>
        <v>53.5</v>
      </c>
    </row>
    <row r="22" spans="1:27" ht="26.25" thickBot="1" x14ac:dyDescent="0.3">
      <c r="A22" s="331"/>
      <c r="B22" s="333" t="s">
        <v>39</v>
      </c>
      <c r="C22" s="18" t="s">
        <v>40</v>
      </c>
      <c r="D22" s="19">
        <v>2</v>
      </c>
      <c r="E22" s="23">
        <v>42</v>
      </c>
      <c r="F22" s="20">
        <v>0.8</v>
      </c>
      <c r="G22" s="20">
        <v>0.9</v>
      </c>
      <c r="H22" s="20">
        <v>1</v>
      </c>
      <c r="I22" s="20">
        <v>1.5</v>
      </c>
      <c r="J22" s="20">
        <v>2</v>
      </c>
      <c r="K22" s="20">
        <v>2.25</v>
      </c>
      <c r="L22" s="20">
        <v>2.5</v>
      </c>
      <c r="M22" s="20">
        <v>3</v>
      </c>
      <c r="N22" s="21">
        <v>3.5</v>
      </c>
      <c r="O22" s="20">
        <v>2.5</v>
      </c>
      <c r="P22" s="22"/>
      <c r="Q22" s="8">
        <f t="shared" si="11"/>
        <v>2</v>
      </c>
      <c r="R22" s="8">
        <f t="shared" si="12"/>
        <v>1.8</v>
      </c>
      <c r="S22" s="8">
        <f t="shared" si="13"/>
        <v>2</v>
      </c>
      <c r="T22" s="8">
        <f t="shared" si="14"/>
        <v>3</v>
      </c>
      <c r="U22" s="8">
        <f t="shared" si="15"/>
        <v>4</v>
      </c>
      <c r="V22" s="8">
        <f t="shared" si="16"/>
        <v>4.5</v>
      </c>
      <c r="W22" s="8">
        <f t="shared" si="17"/>
        <v>5</v>
      </c>
      <c r="X22" s="8">
        <f t="shared" si="18"/>
        <v>6</v>
      </c>
      <c r="Y22" s="8">
        <f t="shared" si="19"/>
        <v>7</v>
      </c>
      <c r="Z22" s="8">
        <f t="shared" si="20"/>
        <v>5</v>
      </c>
      <c r="AA22" s="9">
        <f t="shared" si="10"/>
        <v>40.299999999999997</v>
      </c>
    </row>
    <row r="23" spans="1:27" ht="39" thickBot="1" x14ac:dyDescent="0.3">
      <c r="A23" s="331"/>
      <c r="B23" s="334"/>
      <c r="C23" s="18" t="s">
        <v>41</v>
      </c>
      <c r="D23" s="19">
        <v>1</v>
      </c>
      <c r="E23" s="23">
        <v>31</v>
      </c>
      <c r="F23" s="20">
        <v>1</v>
      </c>
      <c r="G23" s="20">
        <v>1.2</v>
      </c>
      <c r="H23" s="20">
        <v>2</v>
      </c>
      <c r="I23" s="20">
        <v>2.5</v>
      </c>
      <c r="J23" s="20">
        <v>3</v>
      </c>
      <c r="K23" s="20">
        <v>3.32</v>
      </c>
      <c r="L23" s="20">
        <v>3.1</v>
      </c>
      <c r="M23" s="20">
        <v>5.2</v>
      </c>
      <c r="N23" s="21">
        <v>8</v>
      </c>
      <c r="O23" s="20">
        <v>1</v>
      </c>
      <c r="P23" s="22"/>
      <c r="Q23" s="8">
        <f t="shared" si="11"/>
        <v>1</v>
      </c>
      <c r="R23" s="8">
        <f t="shared" si="12"/>
        <v>1.2</v>
      </c>
      <c r="S23" s="8">
        <f t="shared" si="13"/>
        <v>2</v>
      </c>
      <c r="T23" s="8">
        <f t="shared" si="14"/>
        <v>2.5</v>
      </c>
      <c r="U23" s="8">
        <f t="shared" si="15"/>
        <v>3</v>
      </c>
      <c r="V23" s="8">
        <f t="shared" si="16"/>
        <v>3.32</v>
      </c>
      <c r="W23" s="8">
        <f t="shared" si="17"/>
        <v>3.1</v>
      </c>
      <c r="X23" s="8">
        <f t="shared" si="18"/>
        <v>5.2</v>
      </c>
      <c r="Y23" s="8">
        <f t="shared" si="19"/>
        <v>8</v>
      </c>
      <c r="Z23" s="8">
        <f t="shared" si="20"/>
        <v>1</v>
      </c>
      <c r="AA23" s="9">
        <f t="shared" si="10"/>
        <v>30.32</v>
      </c>
    </row>
    <row r="24" spans="1:27" ht="39" thickBot="1" x14ac:dyDescent="0.3">
      <c r="A24" s="331"/>
      <c r="B24" s="334"/>
      <c r="C24" s="18" t="s">
        <v>42</v>
      </c>
      <c r="D24" s="19">
        <v>60</v>
      </c>
      <c r="E24" s="23">
        <v>460</v>
      </c>
      <c r="F24" s="20">
        <v>0.56000000000000005</v>
      </c>
      <c r="G24" s="20">
        <v>2</v>
      </c>
      <c r="H24" s="20">
        <v>3</v>
      </c>
      <c r="I24" s="20">
        <v>1.1000000000000001</v>
      </c>
      <c r="J24" s="20">
        <v>0</v>
      </c>
      <c r="K24" s="20">
        <v>0</v>
      </c>
      <c r="L24" s="20">
        <v>0</v>
      </c>
      <c r="M24" s="20">
        <v>0</v>
      </c>
      <c r="N24" s="21">
        <v>0</v>
      </c>
      <c r="O24" s="20">
        <v>0</v>
      </c>
      <c r="P24" s="22"/>
      <c r="Q24" s="8">
        <f t="shared" si="11"/>
        <v>60</v>
      </c>
      <c r="R24" s="8">
        <f t="shared" si="12"/>
        <v>120</v>
      </c>
      <c r="S24" s="8">
        <f t="shared" si="13"/>
        <v>180</v>
      </c>
      <c r="T24" s="8">
        <f t="shared" si="14"/>
        <v>66</v>
      </c>
      <c r="U24" s="8">
        <f t="shared" si="15"/>
        <v>0</v>
      </c>
      <c r="V24" s="8">
        <f t="shared" si="16"/>
        <v>0</v>
      </c>
      <c r="W24" s="8">
        <f t="shared" si="17"/>
        <v>0</v>
      </c>
      <c r="X24" s="8">
        <f t="shared" si="18"/>
        <v>0</v>
      </c>
      <c r="Y24" s="8">
        <f t="shared" si="19"/>
        <v>0</v>
      </c>
      <c r="Z24" s="8">
        <f t="shared" si="20"/>
        <v>0</v>
      </c>
      <c r="AA24" s="9">
        <f t="shared" si="10"/>
        <v>426</v>
      </c>
    </row>
    <row r="25" spans="1:27" ht="39" thickBot="1" x14ac:dyDescent="0.3">
      <c r="A25" s="331"/>
      <c r="B25" s="334"/>
      <c r="C25" s="18" t="s">
        <v>43</v>
      </c>
      <c r="D25" s="19">
        <v>1</v>
      </c>
      <c r="E25" s="23">
        <v>51</v>
      </c>
      <c r="F25" s="20">
        <v>0.9</v>
      </c>
      <c r="G25" s="20">
        <v>2</v>
      </c>
      <c r="H25" s="20">
        <v>3</v>
      </c>
      <c r="I25" s="20">
        <v>4</v>
      </c>
      <c r="J25" s="20">
        <v>5</v>
      </c>
      <c r="K25" s="20">
        <v>7</v>
      </c>
      <c r="L25" s="20">
        <v>6</v>
      </c>
      <c r="M25" s="20">
        <v>6</v>
      </c>
      <c r="N25" s="21">
        <v>7</v>
      </c>
      <c r="O25" s="20">
        <v>9</v>
      </c>
      <c r="P25" s="22"/>
      <c r="Q25" s="8">
        <f t="shared" si="11"/>
        <v>1</v>
      </c>
      <c r="R25" s="8">
        <f t="shared" si="12"/>
        <v>2</v>
      </c>
      <c r="S25" s="8">
        <f t="shared" si="13"/>
        <v>3</v>
      </c>
      <c r="T25" s="8">
        <f t="shared" si="14"/>
        <v>4</v>
      </c>
      <c r="U25" s="8">
        <f t="shared" si="15"/>
        <v>5</v>
      </c>
      <c r="V25" s="8">
        <f t="shared" si="16"/>
        <v>7</v>
      </c>
      <c r="W25" s="8">
        <f t="shared" si="17"/>
        <v>6</v>
      </c>
      <c r="X25" s="8">
        <f t="shared" si="18"/>
        <v>6</v>
      </c>
      <c r="Y25" s="8">
        <f t="shared" si="19"/>
        <v>7</v>
      </c>
      <c r="Z25" s="8">
        <f t="shared" si="20"/>
        <v>9</v>
      </c>
      <c r="AA25" s="9">
        <f t="shared" si="10"/>
        <v>50</v>
      </c>
    </row>
    <row r="26" spans="1:27" ht="15.75" thickBot="1" x14ac:dyDescent="0.3">
      <c r="A26" s="331"/>
      <c r="B26" s="334"/>
      <c r="C26" s="18" t="s">
        <v>44</v>
      </c>
      <c r="D26" s="19">
        <v>3</v>
      </c>
      <c r="E26" s="23">
        <v>43</v>
      </c>
      <c r="F26" s="20">
        <v>0.4</v>
      </c>
      <c r="G26" s="20">
        <v>0.7</v>
      </c>
      <c r="H26" s="20">
        <v>0.95</v>
      </c>
      <c r="I26" s="20">
        <v>0.9</v>
      </c>
      <c r="J26" s="20">
        <v>0.95</v>
      </c>
      <c r="K26" s="20">
        <v>1</v>
      </c>
      <c r="L26" s="20">
        <v>1.2</v>
      </c>
      <c r="M26" s="20">
        <v>1.9</v>
      </c>
      <c r="N26" s="21">
        <v>2.2000000000000002</v>
      </c>
      <c r="O26" s="20">
        <v>3</v>
      </c>
      <c r="P26" s="22"/>
      <c r="Q26" s="8">
        <f t="shared" si="11"/>
        <v>3</v>
      </c>
      <c r="R26" s="8">
        <f t="shared" si="12"/>
        <v>2.0999999999999996</v>
      </c>
      <c r="S26" s="8">
        <f t="shared" si="13"/>
        <v>2.8499999999999996</v>
      </c>
      <c r="T26" s="8">
        <f t="shared" si="14"/>
        <v>2.7</v>
      </c>
      <c r="U26" s="8">
        <f t="shared" si="15"/>
        <v>2.8499999999999996</v>
      </c>
      <c r="V26" s="8">
        <f t="shared" si="16"/>
        <v>3</v>
      </c>
      <c r="W26" s="8">
        <f t="shared" si="17"/>
        <v>3.5999999999999996</v>
      </c>
      <c r="X26" s="8">
        <f t="shared" si="18"/>
        <v>5.6999999999999993</v>
      </c>
      <c r="Y26" s="8">
        <f t="shared" si="19"/>
        <v>6.6000000000000005</v>
      </c>
      <c r="Z26" s="8">
        <f t="shared" si="20"/>
        <v>9</v>
      </c>
      <c r="AA26" s="9">
        <f t="shared" si="10"/>
        <v>41.4</v>
      </c>
    </row>
    <row r="27" spans="1:27" ht="39" thickBot="1" x14ac:dyDescent="0.3">
      <c r="A27" s="331"/>
      <c r="B27" s="335"/>
      <c r="C27" s="18" t="s">
        <v>45</v>
      </c>
      <c r="D27" s="19">
        <v>20</v>
      </c>
      <c r="E27" s="23">
        <v>220</v>
      </c>
      <c r="F27" s="20">
        <v>1</v>
      </c>
      <c r="G27" s="20">
        <v>0.9</v>
      </c>
      <c r="H27" s="20">
        <v>0.8</v>
      </c>
      <c r="I27" s="20">
        <v>0.6</v>
      </c>
      <c r="J27" s="20">
        <v>0.7</v>
      </c>
      <c r="K27" s="20">
        <v>0.9</v>
      </c>
      <c r="L27" s="20">
        <v>1</v>
      </c>
      <c r="M27" s="20">
        <v>1.4</v>
      </c>
      <c r="N27" s="21">
        <v>1.5</v>
      </c>
      <c r="O27" s="20">
        <v>1.2</v>
      </c>
      <c r="P27" s="22"/>
      <c r="Q27" s="8">
        <f t="shared" si="11"/>
        <v>20</v>
      </c>
      <c r="R27" s="8">
        <f t="shared" si="12"/>
        <v>18</v>
      </c>
      <c r="S27" s="8">
        <f t="shared" si="13"/>
        <v>16</v>
      </c>
      <c r="T27" s="8">
        <f t="shared" si="14"/>
        <v>12</v>
      </c>
      <c r="U27" s="8">
        <f t="shared" si="15"/>
        <v>14</v>
      </c>
      <c r="V27" s="8">
        <f t="shared" si="16"/>
        <v>18</v>
      </c>
      <c r="W27" s="8">
        <f t="shared" si="17"/>
        <v>20</v>
      </c>
      <c r="X27" s="8">
        <f t="shared" si="18"/>
        <v>28</v>
      </c>
      <c r="Y27" s="8">
        <f t="shared" si="19"/>
        <v>30</v>
      </c>
      <c r="Z27" s="8">
        <f t="shared" si="20"/>
        <v>24</v>
      </c>
      <c r="AA27" s="9">
        <f t="shared" si="10"/>
        <v>200</v>
      </c>
    </row>
    <row r="28" spans="1:27" ht="26.25" thickBot="1" x14ac:dyDescent="0.3">
      <c r="A28" s="331"/>
      <c r="B28" s="333" t="s">
        <v>46</v>
      </c>
      <c r="C28" s="18" t="s">
        <v>47</v>
      </c>
      <c r="D28" s="23">
        <v>80</v>
      </c>
      <c r="E28" s="23">
        <v>2540</v>
      </c>
      <c r="F28" s="20">
        <v>0.85</v>
      </c>
      <c r="G28" s="20">
        <v>2</v>
      </c>
      <c r="H28" s="20">
        <v>3.1</v>
      </c>
      <c r="I28" s="20">
        <v>3.8</v>
      </c>
      <c r="J28" s="20">
        <v>4.5</v>
      </c>
      <c r="K28" s="20">
        <v>4</v>
      </c>
      <c r="L28" s="20">
        <v>4.5</v>
      </c>
      <c r="M28" s="20">
        <v>3</v>
      </c>
      <c r="N28" s="21">
        <v>3</v>
      </c>
      <c r="O28" s="20">
        <v>2</v>
      </c>
      <c r="P28" s="22"/>
      <c r="Q28" s="8">
        <f t="shared" si="11"/>
        <v>80</v>
      </c>
      <c r="R28" s="8">
        <f t="shared" si="12"/>
        <v>160</v>
      </c>
      <c r="S28" s="8">
        <f t="shared" si="13"/>
        <v>248</v>
      </c>
      <c r="T28" s="8">
        <f t="shared" si="14"/>
        <v>304</v>
      </c>
      <c r="U28" s="8">
        <f t="shared" si="15"/>
        <v>360</v>
      </c>
      <c r="V28" s="8">
        <f t="shared" si="16"/>
        <v>320</v>
      </c>
      <c r="W28" s="8">
        <f t="shared" si="17"/>
        <v>360</v>
      </c>
      <c r="X28" s="8">
        <f t="shared" si="18"/>
        <v>240</v>
      </c>
      <c r="Y28" s="8">
        <f t="shared" si="19"/>
        <v>240</v>
      </c>
      <c r="Z28" s="8">
        <f t="shared" si="20"/>
        <v>160</v>
      </c>
      <c r="AA28" s="9">
        <f t="shared" si="10"/>
        <v>2472</v>
      </c>
    </row>
    <row r="29" spans="1:27" ht="39" thickBot="1" x14ac:dyDescent="0.3">
      <c r="A29" s="331"/>
      <c r="B29" s="334"/>
      <c r="C29" s="18" t="s">
        <v>48</v>
      </c>
      <c r="D29" s="23">
        <v>30</v>
      </c>
      <c r="E29" s="23">
        <v>330</v>
      </c>
      <c r="F29" s="20">
        <v>0.4</v>
      </c>
      <c r="G29" s="20">
        <v>0.5</v>
      </c>
      <c r="H29" s="20">
        <v>1</v>
      </c>
      <c r="I29" s="20">
        <v>1.5</v>
      </c>
      <c r="J29" s="20">
        <v>1.8</v>
      </c>
      <c r="K29" s="20">
        <v>1.6</v>
      </c>
      <c r="L29" s="20">
        <v>1.5</v>
      </c>
      <c r="M29" s="20">
        <v>1.4</v>
      </c>
      <c r="N29" s="21">
        <v>0.2</v>
      </c>
      <c r="O29" s="20">
        <v>0.1</v>
      </c>
      <c r="P29" s="22"/>
      <c r="Q29" s="8">
        <f t="shared" si="11"/>
        <v>30</v>
      </c>
      <c r="R29" s="8">
        <f t="shared" si="12"/>
        <v>15</v>
      </c>
      <c r="S29" s="8">
        <f t="shared" si="13"/>
        <v>30</v>
      </c>
      <c r="T29" s="8">
        <f t="shared" si="14"/>
        <v>45</v>
      </c>
      <c r="U29" s="8">
        <f t="shared" si="15"/>
        <v>54</v>
      </c>
      <c r="V29" s="8">
        <f t="shared" si="16"/>
        <v>48</v>
      </c>
      <c r="W29" s="8">
        <f t="shared" si="17"/>
        <v>45</v>
      </c>
      <c r="X29" s="8">
        <f t="shared" si="18"/>
        <v>42</v>
      </c>
      <c r="Y29" s="8">
        <f t="shared" si="19"/>
        <v>6</v>
      </c>
      <c r="Z29" s="8">
        <f t="shared" si="20"/>
        <v>3</v>
      </c>
      <c r="AA29" s="9">
        <f t="shared" si="10"/>
        <v>318</v>
      </c>
    </row>
    <row r="30" spans="1:27" ht="39" thickBot="1" x14ac:dyDescent="0.3">
      <c r="A30" s="331"/>
      <c r="B30" s="335"/>
      <c r="C30" s="18" t="s">
        <v>49</v>
      </c>
      <c r="D30" s="23">
        <v>4</v>
      </c>
      <c r="E30" s="23">
        <v>124</v>
      </c>
      <c r="F30" s="20">
        <v>0.5</v>
      </c>
      <c r="G30" s="20">
        <v>1</v>
      </c>
      <c r="H30" s="20">
        <v>2</v>
      </c>
      <c r="I30" s="20">
        <v>3</v>
      </c>
      <c r="J30" s="20">
        <v>4</v>
      </c>
      <c r="K30" s="20">
        <v>3</v>
      </c>
      <c r="L30" s="20">
        <v>3.5</v>
      </c>
      <c r="M30" s="20">
        <v>4</v>
      </c>
      <c r="N30" s="21">
        <v>4.5</v>
      </c>
      <c r="O30" s="20">
        <v>4.5999999999999996</v>
      </c>
      <c r="P30" s="22"/>
      <c r="Q30" s="8">
        <f t="shared" si="11"/>
        <v>4</v>
      </c>
      <c r="R30" s="8">
        <f t="shared" si="12"/>
        <v>4</v>
      </c>
      <c r="S30" s="8">
        <f t="shared" si="13"/>
        <v>8</v>
      </c>
      <c r="T30" s="8">
        <f t="shared" si="14"/>
        <v>12</v>
      </c>
      <c r="U30" s="8">
        <f t="shared" si="15"/>
        <v>16</v>
      </c>
      <c r="V30" s="8">
        <f t="shared" si="16"/>
        <v>12</v>
      </c>
      <c r="W30" s="8">
        <f t="shared" si="17"/>
        <v>14</v>
      </c>
      <c r="X30" s="8">
        <f t="shared" si="18"/>
        <v>16</v>
      </c>
      <c r="Y30" s="8">
        <f t="shared" si="19"/>
        <v>18</v>
      </c>
      <c r="Z30" s="8">
        <f t="shared" si="20"/>
        <v>18.399999999999999</v>
      </c>
      <c r="AA30" s="9">
        <f t="shared" si="10"/>
        <v>122.4</v>
      </c>
    </row>
    <row r="31" spans="1:27" ht="26.25" thickBot="1" x14ac:dyDescent="0.3">
      <c r="A31" s="331"/>
      <c r="B31" s="333" t="s">
        <v>50</v>
      </c>
      <c r="C31" s="18" t="s">
        <v>51</v>
      </c>
      <c r="D31" s="23">
        <v>49</v>
      </c>
      <c r="E31" s="23">
        <v>450</v>
      </c>
      <c r="F31" s="20">
        <v>0.5</v>
      </c>
      <c r="G31" s="20">
        <v>1</v>
      </c>
      <c r="H31" s="20">
        <v>0.9</v>
      </c>
      <c r="I31" s="20">
        <v>0.8</v>
      </c>
      <c r="J31" s="20">
        <v>1.2</v>
      </c>
      <c r="K31" s="20">
        <v>1</v>
      </c>
      <c r="L31" s="20">
        <v>0.69</v>
      </c>
      <c r="M31" s="20">
        <v>0.7</v>
      </c>
      <c r="N31" s="21">
        <v>0.8</v>
      </c>
      <c r="O31" s="20">
        <v>0.6</v>
      </c>
      <c r="P31" s="22"/>
      <c r="Q31" s="8">
        <f t="shared" si="11"/>
        <v>49</v>
      </c>
      <c r="R31" s="8">
        <f t="shared" si="12"/>
        <v>49</v>
      </c>
      <c r="S31" s="8">
        <f t="shared" si="13"/>
        <v>44.1</v>
      </c>
      <c r="T31" s="8">
        <f t="shared" si="14"/>
        <v>39.200000000000003</v>
      </c>
      <c r="U31" s="8">
        <f t="shared" si="15"/>
        <v>58.8</v>
      </c>
      <c r="V31" s="8">
        <f t="shared" si="16"/>
        <v>49</v>
      </c>
      <c r="W31" s="8">
        <f t="shared" si="17"/>
        <v>33.809999999999995</v>
      </c>
      <c r="X31" s="8">
        <f t="shared" si="18"/>
        <v>34.299999999999997</v>
      </c>
      <c r="Y31" s="8">
        <f t="shared" si="19"/>
        <v>39.200000000000003</v>
      </c>
      <c r="Z31" s="8">
        <f t="shared" si="20"/>
        <v>29.4</v>
      </c>
      <c r="AA31" s="9">
        <f t="shared" si="10"/>
        <v>425.81</v>
      </c>
    </row>
    <row r="32" spans="1:27" ht="26.25" thickBot="1" x14ac:dyDescent="0.3">
      <c r="A32" s="331"/>
      <c r="B32" s="335"/>
      <c r="C32" s="18" t="s">
        <v>52</v>
      </c>
      <c r="D32" s="23">
        <v>1</v>
      </c>
      <c r="E32" s="23">
        <v>11</v>
      </c>
      <c r="F32" s="20">
        <v>0.1</v>
      </c>
      <c r="G32" s="20">
        <v>0.2</v>
      </c>
      <c r="H32" s="20">
        <v>0.3</v>
      </c>
      <c r="I32" s="20">
        <v>0.8</v>
      </c>
      <c r="J32" s="20">
        <v>0.9</v>
      </c>
      <c r="K32" s="20">
        <v>1</v>
      </c>
      <c r="L32" s="20">
        <v>1.4</v>
      </c>
      <c r="M32" s="20">
        <v>1.6</v>
      </c>
      <c r="N32" s="21">
        <v>1.5</v>
      </c>
      <c r="O32" s="20">
        <v>1.8</v>
      </c>
      <c r="P32" s="22"/>
      <c r="Q32" s="8">
        <f t="shared" si="11"/>
        <v>1</v>
      </c>
      <c r="R32" s="8">
        <f t="shared" si="12"/>
        <v>0.2</v>
      </c>
      <c r="S32" s="8">
        <f t="shared" si="13"/>
        <v>0.3</v>
      </c>
      <c r="T32" s="8">
        <f t="shared" si="14"/>
        <v>0.8</v>
      </c>
      <c r="U32" s="8">
        <f t="shared" si="15"/>
        <v>0.9</v>
      </c>
      <c r="V32" s="8">
        <f t="shared" si="16"/>
        <v>1</v>
      </c>
      <c r="W32" s="8">
        <f t="shared" si="17"/>
        <v>1.4</v>
      </c>
      <c r="X32" s="8">
        <f t="shared" si="18"/>
        <v>1.6</v>
      </c>
      <c r="Y32" s="8">
        <f t="shared" si="19"/>
        <v>1.5</v>
      </c>
      <c r="Z32" s="8">
        <f t="shared" si="20"/>
        <v>1.8</v>
      </c>
      <c r="AA32" s="9">
        <f t="shared" si="10"/>
        <v>10.5</v>
      </c>
    </row>
    <row r="33" spans="1:27" ht="26.25" thickBot="1" x14ac:dyDescent="0.3">
      <c r="A33" s="331"/>
      <c r="B33" s="333" t="s">
        <v>53</v>
      </c>
      <c r="C33" s="18" t="s">
        <v>51</v>
      </c>
      <c r="D33" s="23">
        <v>10</v>
      </c>
      <c r="E33" s="23">
        <v>130</v>
      </c>
      <c r="F33" s="20">
        <v>0.2</v>
      </c>
      <c r="G33" s="20">
        <v>0.6</v>
      </c>
      <c r="H33" s="20">
        <v>0.9</v>
      </c>
      <c r="I33" s="20">
        <v>1.2</v>
      </c>
      <c r="J33" s="20">
        <v>1.5</v>
      </c>
      <c r="K33" s="20">
        <v>2</v>
      </c>
      <c r="L33" s="20">
        <v>2</v>
      </c>
      <c r="M33" s="20">
        <v>1.5</v>
      </c>
      <c r="N33" s="21">
        <v>1.4</v>
      </c>
      <c r="O33" s="20">
        <v>0.7</v>
      </c>
      <c r="P33" s="22"/>
      <c r="Q33" s="8">
        <f t="shared" si="11"/>
        <v>10</v>
      </c>
      <c r="R33" s="8">
        <f t="shared" si="12"/>
        <v>6</v>
      </c>
      <c r="S33" s="8">
        <f t="shared" si="13"/>
        <v>9</v>
      </c>
      <c r="T33" s="8">
        <f t="shared" si="14"/>
        <v>12</v>
      </c>
      <c r="U33" s="8">
        <f t="shared" si="15"/>
        <v>15</v>
      </c>
      <c r="V33" s="8">
        <f t="shared" si="16"/>
        <v>20</v>
      </c>
      <c r="W33" s="8">
        <f t="shared" si="17"/>
        <v>20</v>
      </c>
      <c r="X33" s="8">
        <f t="shared" si="18"/>
        <v>15</v>
      </c>
      <c r="Y33" s="8">
        <f t="shared" si="19"/>
        <v>14</v>
      </c>
      <c r="Z33" s="8">
        <f t="shared" si="20"/>
        <v>7</v>
      </c>
      <c r="AA33" s="9">
        <f t="shared" si="10"/>
        <v>128</v>
      </c>
    </row>
    <row r="34" spans="1:27" ht="15.75" thickBot="1" x14ac:dyDescent="0.3">
      <c r="A34" s="331"/>
      <c r="B34" s="335"/>
      <c r="C34" s="24" t="s">
        <v>54</v>
      </c>
      <c r="D34" s="23">
        <v>10</v>
      </c>
      <c r="E34" s="23">
        <v>130</v>
      </c>
      <c r="F34" s="20">
        <v>0.2</v>
      </c>
      <c r="G34" s="20">
        <v>0.6</v>
      </c>
      <c r="H34" s="20">
        <v>0.9</v>
      </c>
      <c r="I34" s="20">
        <v>1.2</v>
      </c>
      <c r="J34" s="20">
        <v>1.5</v>
      </c>
      <c r="K34" s="20">
        <v>2</v>
      </c>
      <c r="L34" s="20">
        <v>2</v>
      </c>
      <c r="M34" s="20">
        <v>1.5</v>
      </c>
      <c r="N34" s="21">
        <v>1.4</v>
      </c>
      <c r="O34" s="20">
        <v>0.7</v>
      </c>
      <c r="P34" s="22"/>
      <c r="Q34" s="8">
        <f t="shared" si="11"/>
        <v>10</v>
      </c>
      <c r="R34" s="8">
        <f t="shared" si="12"/>
        <v>6</v>
      </c>
      <c r="S34" s="8">
        <f t="shared" si="13"/>
        <v>9</v>
      </c>
      <c r="T34" s="8">
        <f t="shared" si="14"/>
        <v>12</v>
      </c>
      <c r="U34" s="8">
        <f t="shared" si="15"/>
        <v>15</v>
      </c>
      <c r="V34" s="8">
        <f t="shared" si="16"/>
        <v>20</v>
      </c>
      <c r="W34" s="8">
        <f t="shared" si="17"/>
        <v>20</v>
      </c>
      <c r="X34" s="8">
        <f t="shared" si="18"/>
        <v>15</v>
      </c>
      <c r="Y34" s="8">
        <f t="shared" si="19"/>
        <v>14</v>
      </c>
      <c r="Z34" s="8">
        <f t="shared" si="20"/>
        <v>7</v>
      </c>
      <c r="AA34" s="9">
        <f t="shared" si="10"/>
        <v>128</v>
      </c>
    </row>
    <row r="35" spans="1:27" ht="26.25" thickBot="1" x14ac:dyDescent="0.3">
      <c r="A35" s="331"/>
      <c r="B35" s="333" t="s">
        <v>55</v>
      </c>
      <c r="C35" s="18" t="s">
        <v>56</v>
      </c>
      <c r="D35" s="23">
        <v>0</v>
      </c>
      <c r="E35" s="23">
        <v>1</v>
      </c>
      <c r="F35" s="20">
        <v>0.1</v>
      </c>
      <c r="G35" s="20">
        <v>0.4</v>
      </c>
      <c r="H35" s="20">
        <v>0.5</v>
      </c>
      <c r="I35" s="20">
        <v>0</v>
      </c>
      <c r="J35" s="20">
        <v>0</v>
      </c>
      <c r="K35" s="20">
        <v>0</v>
      </c>
      <c r="L35" s="20">
        <v>0</v>
      </c>
      <c r="M35" s="20">
        <v>0</v>
      </c>
      <c r="N35" s="21">
        <v>0</v>
      </c>
      <c r="O35" s="20">
        <v>0</v>
      </c>
      <c r="P35" s="22"/>
      <c r="Q35" s="8">
        <f t="shared" si="11"/>
        <v>0</v>
      </c>
      <c r="R35" s="8">
        <f t="shared" si="12"/>
        <v>0</v>
      </c>
      <c r="S35" s="8">
        <f t="shared" si="13"/>
        <v>0</v>
      </c>
      <c r="T35" s="8">
        <f t="shared" si="14"/>
        <v>0</v>
      </c>
      <c r="U35" s="8">
        <f t="shared" si="15"/>
        <v>0</v>
      </c>
      <c r="V35" s="8">
        <f t="shared" si="16"/>
        <v>0</v>
      </c>
      <c r="W35" s="8">
        <f t="shared" si="17"/>
        <v>0</v>
      </c>
      <c r="X35" s="8">
        <f t="shared" si="18"/>
        <v>0</v>
      </c>
      <c r="Y35" s="8">
        <f t="shared" si="19"/>
        <v>0</v>
      </c>
      <c r="Z35" s="8">
        <f t="shared" si="20"/>
        <v>0</v>
      </c>
      <c r="AA35" s="9">
        <f t="shared" si="10"/>
        <v>0</v>
      </c>
    </row>
    <row r="36" spans="1:27" ht="26.25" thickBot="1" x14ac:dyDescent="0.3">
      <c r="A36" s="331"/>
      <c r="B36" s="336"/>
      <c r="C36" s="18" t="s">
        <v>57</v>
      </c>
      <c r="D36" s="23">
        <v>0</v>
      </c>
      <c r="E36" s="23">
        <v>1</v>
      </c>
      <c r="F36" s="20">
        <v>0.1</v>
      </c>
      <c r="G36" s="20">
        <v>0.4</v>
      </c>
      <c r="H36" s="20">
        <v>0.5</v>
      </c>
      <c r="I36" s="20">
        <v>0</v>
      </c>
      <c r="J36" s="20">
        <v>0</v>
      </c>
      <c r="K36" s="20">
        <v>0</v>
      </c>
      <c r="L36" s="20">
        <v>0</v>
      </c>
      <c r="M36" s="20">
        <v>0</v>
      </c>
      <c r="N36" s="21">
        <v>0</v>
      </c>
      <c r="O36" s="20">
        <v>0</v>
      </c>
      <c r="P36" s="22"/>
      <c r="Q36" s="8">
        <f t="shared" si="11"/>
        <v>0</v>
      </c>
      <c r="R36" s="8">
        <f t="shared" si="12"/>
        <v>0</v>
      </c>
      <c r="S36" s="8">
        <f t="shared" si="13"/>
        <v>0</v>
      </c>
      <c r="T36" s="8">
        <f t="shared" si="14"/>
        <v>0</v>
      </c>
      <c r="U36" s="8">
        <f t="shared" si="15"/>
        <v>0</v>
      </c>
      <c r="V36" s="8">
        <f t="shared" si="16"/>
        <v>0</v>
      </c>
      <c r="W36" s="8">
        <f t="shared" si="17"/>
        <v>0</v>
      </c>
      <c r="X36" s="8">
        <f t="shared" si="18"/>
        <v>0</v>
      </c>
      <c r="Y36" s="8">
        <f t="shared" si="19"/>
        <v>0</v>
      </c>
      <c r="Z36" s="8">
        <f t="shared" si="20"/>
        <v>0</v>
      </c>
      <c r="AA36" s="9">
        <f t="shared" si="10"/>
        <v>0</v>
      </c>
    </row>
    <row r="37" spans="1:27" ht="51.75" thickBot="1" x14ac:dyDescent="0.3">
      <c r="A37" s="331"/>
      <c r="B37" s="25" t="s">
        <v>58</v>
      </c>
      <c r="C37" s="18" t="s">
        <v>59</v>
      </c>
      <c r="D37" s="23">
        <v>2</v>
      </c>
      <c r="E37" s="23">
        <v>8</v>
      </c>
      <c r="F37" s="20">
        <v>0.5</v>
      </c>
      <c r="G37" s="20">
        <v>0.25</v>
      </c>
      <c r="H37" s="20">
        <v>0.12</v>
      </c>
      <c r="I37" s="20">
        <v>0.13</v>
      </c>
      <c r="J37" s="20">
        <v>0.15</v>
      </c>
      <c r="K37" s="20">
        <v>0.2</v>
      </c>
      <c r="L37" s="20">
        <v>0.4</v>
      </c>
      <c r="M37" s="20">
        <v>0.7</v>
      </c>
      <c r="N37" s="21">
        <v>0.5</v>
      </c>
      <c r="O37" s="20">
        <v>0.2</v>
      </c>
      <c r="P37" s="22"/>
      <c r="Q37" s="8">
        <f t="shared" si="11"/>
        <v>2</v>
      </c>
      <c r="R37" s="8">
        <f t="shared" si="12"/>
        <v>0.5</v>
      </c>
      <c r="S37" s="8">
        <f t="shared" si="13"/>
        <v>0.24</v>
      </c>
      <c r="T37" s="8">
        <f t="shared" si="14"/>
        <v>0.26</v>
      </c>
      <c r="U37" s="8">
        <f t="shared" si="15"/>
        <v>0.3</v>
      </c>
      <c r="V37" s="8">
        <f t="shared" si="16"/>
        <v>0.4</v>
      </c>
      <c r="W37" s="8">
        <f t="shared" si="17"/>
        <v>0.8</v>
      </c>
      <c r="X37" s="8">
        <f t="shared" si="18"/>
        <v>1.4</v>
      </c>
      <c r="Y37" s="8">
        <f t="shared" si="19"/>
        <v>1</v>
      </c>
      <c r="Z37" s="8">
        <f t="shared" si="20"/>
        <v>0.4</v>
      </c>
      <c r="AA37" s="9">
        <f t="shared" si="10"/>
        <v>7.3000000000000007</v>
      </c>
    </row>
    <row r="38" spans="1:27" ht="39" thickBot="1" x14ac:dyDescent="0.3">
      <c r="A38" s="331"/>
      <c r="B38" s="25" t="s">
        <v>60</v>
      </c>
      <c r="C38" s="18" t="s">
        <v>61</v>
      </c>
      <c r="D38" s="23">
        <v>1</v>
      </c>
      <c r="E38" s="23">
        <v>4</v>
      </c>
      <c r="F38" s="20">
        <v>0.1</v>
      </c>
      <c r="G38" s="20">
        <v>0.35</v>
      </c>
      <c r="H38" s="20">
        <v>0.7</v>
      </c>
      <c r="I38" s="20">
        <v>2</v>
      </c>
      <c r="J38" s="20">
        <v>0</v>
      </c>
      <c r="K38" s="20">
        <v>0</v>
      </c>
      <c r="L38" s="20">
        <v>0</v>
      </c>
      <c r="M38" s="20">
        <v>0</v>
      </c>
      <c r="N38" s="20">
        <v>0</v>
      </c>
      <c r="O38" s="21">
        <v>0</v>
      </c>
      <c r="P38" s="26"/>
      <c r="Q38" s="8">
        <f t="shared" si="11"/>
        <v>1</v>
      </c>
      <c r="R38" s="8">
        <f t="shared" si="12"/>
        <v>0.35</v>
      </c>
      <c r="S38" s="8">
        <f t="shared" si="13"/>
        <v>0.7</v>
      </c>
      <c r="T38" s="8">
        <f t="shared" si="14"/>
        <v>2</v>
      </c>
      <c r="U38" s="8">
        <f t="shared" si="15"/>
        <v>0</v>
      </c>
      <c r="V38" s="8">
        <f t="shared" si="16"/>
        <v>0</v>
      </c>
      <c r="W38" s="8">
        <f t="shared" si="17"/>
        <v>0</v>
      </c>
      <c r="X38" s="8">
        <f t="shared" si="18"/>
        <v>0</v>
      </c>
      <c r="Y38" s="8">
        <f t="shared" si="19"/>
        <v>0</v>
      </c>
      <c r="Z38" s="8">
        <f t="shared" si="20"/>
        <v>0</v>
      </c>
      <c r="AA38" s="9">
        <f t="shared" si="10"/>
        <v>4.05</v>
      </c>
    </row>
    <row r="39" spans="1:27" ht="51.75" thickBot="1" x14ac:dyDescent="0.3">
      <c r="A39" s="331"/>
      <c r="B39" s="333" t="s">
        <v>62</v>
      </c>
      <c r="C39" s="18" t="s">
        <v>63</v>
      </c>
      <c r="D39" s="23">
        <v>4</v>
      </c>
      <c r="E39" s="23">
        <v>9</v>
      </c>
      <c r="F39" s="20">
        <v>0.25</v>
      </c>
      <c r="G39" s="20">
        <v>0.2</v>
      </c>
      <c r="H39" s="20">
        <v>0.15</v>
      </c>
      <c r="I39" s="20">
        <v>0.2</v>
      </c>
      <c r="J39" s="20">
        <v>0.5</v>
      </c>
      <c r="K39" s="20">
        <v>0</v>
      </c>
      <c r="L39" s="20">
        <v>0</v>
      </c>
      <c r="M39" s="20">
        <v>0</v>
      </c>
      <c r="N39" s="20">
        <v>0</v>
      </c>
      <c r="O39" s="21">
        <v>0</v>
      </c>
      <c r="P39" s="26"/>
      <c r="Q39" s="8">
        <f t="shared" si="11"/>
        <v>4</v>
      </c>
      <c r="R39" s="8">
        <f t="shared" si="12"/>
        <v>0.8</v>
      </c>
      <c r="S39" s="8">
        <f t="shared" si="13"/>
        <v>0.6</v>
      </c>
      <c r="T39" s="8">
        <f t="shared" si="14"/>
        <v>0.8</v>
      </c>
      <c r="U39" s="8">
        <f t="shared" si="15"/>
        <v>2</v>
      </c>
      <c r="V39" s="8">
        <f t="shared" si="16"/>
        <v>0</v>
      </c>
      <c r="W39" s="8">
        <f t="shared" si="17"/>
        <v>0</v>
      </c>
      <c r="X39" s="8">
        <f t="shared" si="18"/>
        <v>0</v>
      </c>
      <c r="Y39" s="8">
        <f t="shared" si="19"/>
        <v>0</v>
      </c>
      <c r="Z39" s="8">
        <f t="shared" si="20"/>
        <v>0</v>
      </c>
      <c r="AA39" s="9">
        <f t="shared" si="10"/>
        <v>8.1999999999999993</v>
      </c>
    </row>
    <row r="40" spans="1:27" ht="39" thickBot="1" x14ac:dyDescent="0.3">
      <c r="A40" s="331"/>
      <c r="B40" s="334"/>
      <c r="C40" s="27" t="s">
        <v>64</v>
      </c>
      <c r="D40" s="28">
        <v>1</v>
      </c>
      <c r="E40" s="28">
        <v>21</v>
      </c>
      <c r="F40" s="20">
        <v>0.6</v>
      </c>
      <c r="G40" s="20">
        <v>0.5</v>
      </c>
      <c r="H40" s="20">
        <v>1</v>
      </c>
      <c r="I40" s="20">
        <v>2</v>
      </c>
      <c r="J40" s="20">
        <v>3</v>
      </c>
      <c r="K40" s="20">
        <v>3</v>
      </c>
      <c r="L40" s="20">
        <v>2</v>
      </c>
      <c r="M40" s="20">
        <v>3</v>
      </c>
      <c r="N40" s="20">
        <v>2</v>
      </c>
      <c r="O40" s="21">
        <v>2.5</v>
      </c>
      <c r="P40" s="26"/>
      <c r="Q40" s="8">
        <f t="shared" si="11"/>
        <v>1</v>
      </c>
      <c r="R40" s="8">
        <f t="shared" si="12"/>
        <v>0.5</v>
      </c>
      <c r="S40" s="8">
        <f t="shared" si="13"/>
        <v>1</v>
      </c>
      <c r="T40" s="8">
        <f t="shared" si="14"/>
        <v>2</v>
      </c>
      <c r="U40" s="8">
        <f t="shared" si="15"/>
        <v>3</v>
      </c>
      <c r="V40" s="8">
        <f t="shared" si="16"/>
        <v>3</v>
      </c>
      <c r="W40" s="8">
        <f t="shared" si="17"/>
        <v>2</v>
      </c>
      <c r="X40" s="8">
        <f t="shared" si="18"/>
        <v>3</v>
      </c>
      <c r="Y40" s="8">
        <f t="shared" si="19"/>
        <v>2</v>
      </c>
      <c r="Z40" s="8">
        <f t="shared" si="20"/>
        <v>2.5</v>
      </c>
      <c r="AA40" s="9">
        <f t="shared" si="10"/>
        <v>20</v>
      </c>
    </row>
    <row r="41" spans="1:27" ht="39" thickBot="1" x14ac:dyDescent="0.3">
      <c r="A41" s="331"/>
      <c r="B41" s="334"/>
      <c r="C41" s="29" t="s">
        <v>65</v>
      </c>
      <c r="D41" s="30">
        <v>11</v>
      </c>
      <c r="E41" s="30">
        <v>161</v>
      </c>
      <c r="F41" s="20">
        <v>0.6</v>
      </c>
      <c r="G41" s="20">
        <v>0.5</v>
      </c>
      <c r="H41" s="20">
        <v>1</v>
      </c>
      <c r="I41" s="20">
        <v>1.5</v>
      </c>
      <c r="J41" s="20">
        <v>1.7</v>
      </c>
      <c r="K41" s="20">
        <v>1.9</v>
      </c>
      <c r="L41" s="20">
        <v>2</v>
      </c>
      <c r="M41" s="20">
        <v>1.9</v>
      </c>
      <c r="N41" s="20">
        <v>1.5</v>
      </c>
      <c r="O41" s="21">
        <v>1</v>
      </c>
      <c r="P41" s="26"/>
      <c r="Q41" s="8">
        <f t="shared" si="11"/>
        <v>11</v>
      </c>
      <c r="R41" s="8">
        <f t="shared" si="12"/>
        <v>5.5</v>
      </c>
      <c r="S41" s="8">
        <f t="shared" si="13"/>
        <v>11</v>
      </c>
      <c r="T41" s="8">
        <f t="shared" si="14"/>
        <v>16.5</v>
      </c>
      <c r="U41" s="8">
        <f t="shared" si="15"/>
        <v>18.7</v>
      </c>
      <c r="V41" s="8">
        <f t="shared" si="16"/>
        <v>20.9</v>
      </c>
      <c r="W41" s="8">
        <f t="shared" si="17"/>
        <v>22</v>
      </c>
      <c r="X41" s="8">
        <f t="shared" si="18"/>
        <v>20.9</v>
      </c>
      <c r="Y41" s="8">
        <f t="shared" si="19"/>
        <v>16.5</v>
      </c>
      <c r="Z41" s="8">
        <f t="shared" si="20"/>
        <v>11</v>
      </c>
      <c r="AA41" s="9">
        <f t="shared" si="10"/>
        <v>154</v>
      </c>
    </row>
    <row r="42" spans="1:27" ht="39" thickBot="1" x14ac:dyDescent="0.3">
      <c r="A42" s="332"/>
      <c r="B42" s="335"/>
      <c r="C42" s="18" t="s">
        <v>66</v>
      </c>
      <c r="D42" s="23">
        <v>1</v>
      </c>
      <c r="E42" s="23">
        <v>1</v>
      </c>
      <c r="F42" s="20">
        <v>0.05</v>
      </c>
      <c r="G42" s="20">
        <v>0.09</v>
      </c>
      <c r="H42" s="20">
        <v>0.12</v>
      </c>
      <c r="I42" s="20">
        <v>0.13</v>
      </c>
      <c r="J42" s="20">
        <v>0</v>
      </c>
      <c r="K42" s="20">
        <v>0</v>
      </c>
      <c r="L42" s="20">
        <v>0</v>
      </c>
      <c r="M42" s="20">
        <v>0</v>
      </c>
      <c r="N42" s="21">
        <v>0</v>
      </c>
      <c r="O42" s="20">
        <v>0</v>
      </c>
      <c r="P42" s="22"/>
      <c r="Q42" s="8">
        <f t="shared" si="11"/>
        <v>1</v>
      </c>
      <c r="R42" s="8">
        <f t="shared" si="12"/>
        <v>0.09</v>
      </c>
      <c r="S42" s="8">
        <f t="shared" si="13"/>
        <v>0.12</v>
      </c>
      <c r="T42" s="8">
        <f t="shared" si="14"/>
        <v>0.13</v>
      </c>
      <c r="U42" s="8">
        <f t="shared" si="15"/>
        <v>0</v>
      </c>
      <c r="V42" s="8">
        <f t="shared" si="16"/>
        <v>0</v>
      </c>
      <c r="W42" s="8">
        <f t="shared" si="17"/>
        <v>0</v>
      </c>
      <c r="X42" s="8">
        <f t="shared" si="18"/>
        <v>0</v>
      </c>
      <c r="Y42" s="8">
        <f t="shared" si="19"/>
        <v>0</v>
      </c>
      <c r="Z42" s="8">
        <f t="shared" si="20"/>
        <v>0</v>
      </c>
      <c r="AA42" s="9">
        <f t="shared" si="10"/>
        <v>1.3399999999999999</v>
      </c>
    </row>
    <row r="43" spans="1:27" x14ac:dyDescent="0.25">
      <c r="AA43" s="9"/>
    </row>
    <row r="44" spans="1:27" ht="15.75" thickBot="1" x14ac:dyDescent="0.3">
      <c r="AA44" s="9"/>
    </row>
    <row r="45" spans="1:27" ht="15.75" thickBot="1" x14ac:dyDescent="0.3">
      <c r="A45" s="346" t="s">
        <v>33</v>
      </c>
      <c r="B45" s="346" t="s">
        <v>8</v>
      </c>
      <c r="C45" s="346" t="s">
        <v>9</v>
      </c>
      <c r="D45" s="346" t="s">
        <v>10</v>
      </c>
      <c r="E45" s="346" t="s">
        <v>11</v>
      </c>
      <c r="F45" s="339" t="s">
        <v>12</v>
      </c>
      <c r="G45" s="340"/>
      <c r="H45" s="340"/>
      <c r="I45" s="340"/>
      <c r="J45" s="340"/>
      <c r="K45" s="340"/>
      <c r="L45" s="340"/>
      <c r="M45" s="340"/>
      <c r="N45" s="340"/>
      <c r="O45" s="341"/>
      <c r="Q45" s="339" t="s">
        <v>12</v>
      </c>
      <c r="R45" s="340"/>
      <c r="S45" s="340"/>
      <c r="T45" s="340"/>
      <c r="U45" s="340"/>
      <c r="V45" s="340"/>
      <c r="W45" s="340"/>
      <c r="X45" s="340"/>
      <c r="Y45" s="340"/>
      <c r="Z45" s="341"/>
      <c r="AA45" s="9"/>
    </row>
    <row r="46" spans="1:27" ht="15.75" thickBot="1" x14ac:dyDescent="0.3">
      <c r="A46" s="347"/>
      <c r="B46" s="347"/>
      <c r="C46" s="347"/>
      <c r="D46" s="348"/>
      <c r="E46" s="348"/>
      <c r="F46" s="31">
        <v>2015</v>
      </c>
      <c r="G46" s="31">
        <v>2016</v>
      </c>
      <c r="H46" s="31">
        <v>2017</v>
      </c>
      <c r="I46" s="31">
        <v>2018</v>
      </c>
      <c r="J46" s="31">
        <v>2019</v>
      </c>
      <c r="K46" s="31">
        <v>2020</v>
      </c>
      <c r="L46" s="31">
        <v>2021</v>
      </c>
      <c r="M46" s="31">
        <v>2022</v>
      </c>
      <c r="N46" s="31">
        <v>2023</v>
      </c>
      <c r="O46" s="31">
        <v>2024</v>
      </c>
      <c r="Q46" s="31">
        <v>2015</v>
      </c>
      <c r="R46" s="31">
        <v>2016</v>
      </c>
      <c r="S46" s="31">
        <v>2017</v>
      </c>
      <c r="T46" s="31">
        <v>2018</v>
      </c>
      <c r="U46" s="31">
        <v>2019</v>
      </c>
      <c r="V46" s="31">
        <v>2020</v>
      </c>
      <c r="W46" s="31">
        <v>2021</v>
      </c>
      <c r="X46" s="31">
        <v>2022</v>
      </c>
      <c r="Y46" s="31">
        <v>2023</v>
      </c>
      <c r="Z46" s="31">
        <v>2024</v>
      </c>
      <c r="AA46" s="9"/>
    </row>
    <row r="47" spans="1:27" ht="26.25" thickBot="1" x14ac:dyDescent="0.3">
      <c r="A47" s="342" t="s">
        <v>67</v>
      </c>
      <c r="B47" s="345" t="s">
        <v>68</v>
      </c>
      <c r="C47" s="4" t="s">
        <v>69</v>
      </c>
      <c r="D47" s="32">
        <v>0</v>
      </c>
      <c r="E47" s="7">
        <v>1</v>
      </c>
      <c r="F47" s="7">
        <v>0.1</v>
      </c>
      <c r="G47" s="7">
        <v>0.1</v>
      </c>
      <c r="H47" s="7">
        <v>0.1</v>
      </c>
      <c r="I47" s="7">
        <v>0.1</v>
      </c>
      <c r="J47" s="7">
        <v>0.1</v>
      </c>
      <c r="K47" s="7">
        <v>0.1</v>
      </c>
      <c r="L47" s="7">
        <v>0.1</v>
      </c>
      <c r="M47" s="7">
        <v>0.1</v>
      </c>
      <c r="N47" s="7">
        <v>0.1</v>
      </c>
      <c r="O47" s="7">
        <v>0.1</v>
      </c>
      <c r="Q47" s="8">
        <f>D47</f>
        <v>0</v>
      </c>
      <c r="R47" s="8">
        <f>D47*G47</f>
        <v>0</v>
      </c>
      <c r="S47" s="8">
        <f>D47*H47</f>
        <v>0</v>
      </c>
      <c r="T47" s="8">
        <f>D47*I47</f>
        <v>0</v>
      </c>
      <c r="U47" s="8">
        <f>D47*J47</f>
        <v>0</v>
      </c>
      <c r="V47" s="8">
        <f>D47*K47</f>
        <v>0</v>
      </c>
      <c r="W47" s="8">
        <f>D47*L47</f>
        <v>0</v>
      </c>
      <c r="X47" s="8">
        <f>D47*M47</f>
        <v>0</v>
      </c>
      <c r="Y47" s="8">
        <f>D47*N47</f>
        <v>0</v>
      </c>
      <c r="Z47" s="8">
        <f>D47*O47</f>
        <v>0</v>
      </c>
      <c r="AA47" s="9">
        <f t="shared" si="10"/>
        <v>0</v>
      </c>
    </row>
    <row r="48" spans="1:27" ht="39" thickBot="1" x14ac:dyDescent="0.3">
      <c r="A48" s="343"/>
      <c r="B48" s="334"/>
      <c r="C48" s="4" t="s">
        <v>70</v>
      </c>
      <c r="D48" s="32">
        <v>0</v>
      </c>
      <c r="E48" s="7">
        <v>1</v>
      </c>
      <c r="F48" s="7">
        <v>0.1</v>
      </c>
      <c r="G48" s="7">
        <v>0.1</v>
      </c>
      <c r="H48" s="7">
        <v>0.1</v>
      </c>
      <c r="I48" s="7">
        <v>0.1</v>
      </c>
      <c r="J48" s="7">
        <v>0.1</v>
      </c>
      <c r="K48" s="7">
        <v>0.1</v>
      </c>
      <c r="L48" s="7">
        <v>0.1</v>
      </c>
      <c r="M48" s="7">
        <v>0.1</v>
      </c>
      <c r="N48" s="7">
        <v>0.1</v>
      </c>
      <c r="O48" s="7">
        <v>0.1</v>
      </c>
      <c r="Q48" s="8">
        <f t="shared" ref="Q48:Q70" si="21">D48</f>
        <v>0</v>
      </c>
      <c r="R48" s="8">
        <f t="shared" ref="R48:R70" si="22">D48*G48</f>
        <v>0</v>
      </c>
      <c r="S48" s="8">
        <f t="shared" ref="S48:S70" si="23">D48*H48</f>
        <v>0</v>
      </c>
      <c r="T48" s="8">
        <f t="shared" ref="T48:T70" si="24">D48*I48</f>
        <v>0</v>
      </c>
      <c r="U48" s="8">
        <f t="shared" ref="U48:U70" si="25">D48*J48</f>
        <v>0</v>
      </c>
      <c r="V48" s="8">
        <f t="shared" ref="V48:V70" si="26">D48*K48</f>
        <v>0</v>
      </c>
      <c r="W48" s="8">
        <f t="shared" ref="W48:W70" si="27">D48*L48</f>
        <v>0</v>
      </c>
      <c r="X48" s="8">
        <f t="shared" ref="X48:X70" si="28">D48*M48</f>
        <v>0</v>
      </c>
      <c r="Y48" s="8">
        <f t="shared" ref="Y48:Y70" si="29">D48*N48</f>
        <v>0</v>
      </c>
      <c r="Z48" s="8">
        <f t="shared" ref="Z48:Z70" si="30">D48*O48</f>
        <v>0</v>
      </c>
      <c r="AA48" s="9">
        <f t="shared" si="10"/>
        <v>0</v>
      </c>
    </row>
    <row r="49" spans="1:27" ht="39" thickBot="1" x14ac:dyDescent="0.3">
      <c r="A49" s="343"/>
      <c r="B49" s="334"/>
      <c r="C49" s="4" t="s">
        <v>71</v>
      </c>
      <c r="D49" s="32">
        <v>201</v>
      </c>
      <c r="E49" s="32">
        <v>261</v>
      </c>
      <c r="F49" s="11">
        <v>0.03</v>
      </c>
      <c r="G49" s="11">
        <v>0.03</v>
      </c>
      <c r="H49" s="11">
        <v>0.03</v>
      </c>
      <c r="I49" s="11">
        <v>0.03</v>
      </c>
      <c r="J49" s="11">
        <v>0.03</v>
      </c>
      <c r="K49" s="11">
        <v>0.03</v>
      </c>
      <c r="L49" s="11">
        <v>0.03</v>
      </c>
      <c r="M49" s="11">
        <v>0.03</v>
      </c>
      <c r="N49" s="11">
        <v>0.03</v>
      </c>
      <c r="O49" s="11">
        <v>0.03</v>
      </c>
      <c r="Q49" s="8">
        <f t="shared" si="21"/>
        <v>201</v>
      </c>
      <c r="R49" s="8">
        <f t="shared" si="22"/>
        <v>6.0299999999999994</v>
      </c>
      <c r="S49" s="8">
        <f t="shared" si="23"/>
        <v>6.0299999999999994</v>
      </c>
      <c r="T49" s="8">
        <f t="shared" si="24"/>
        <v>6.0299999999999994</v>
      </c>
      <c r="U49" s="8">
        <f t="shared" si="25"/>
        <v>6.0299999999999994</v>
      </c>
      <c r="V49" s="8">
        <f t="shared" si="26"/>
        <v>6.0299999999999994</v>
      </c>
      <c r="W49" s="8">
        <f t="shared" si="27"/>
        <v>6.0299999999999994</v>
      </c>
      <c r="X49" s="8">
        <f t="shared" si="28"/>
        <v>6.0299999999999994</v>
      </c>
      <c r="Y49" s="8">
        <f t="shared" si="29"/>
        <v>6.0299999999999994</v>
      </c>
      <c r="Z49" s="8">
        <f t="shared" si="30"/>
        <v>6.0299999999999994</v>
      </c>
      <c r="AA49" s="9">
        <f t="shared" si="10"/>
        <v>255.27</v>
      </c>
    </row>
    <row r="50" spans="1:27" ht="39" thickBot="1" x14ac:dyDescent="0.3">
      <c r="A50" s="343"/>
      <c r="B50" s="335"/>
      <c r="C50" s="4" t="s">
        <v>72</v>
      </c>
      <c r="D50" s="32">
        <v>5</v>
      </c>
      <c r="E50" s="32">
        <v>50</v>
      </c>
      <c r="F50" s="11">
        <v>0</v>
      </c>
      <c r="G50" s="7">
        <v>0.1</v>
      </c>
      <c r="H50" s="7">
        <v>0.2</v>
      </c>
      <c r="I50" s="7">
        <v>0.4</v>
      </c>
      <c r="J50" s="7">
        <v>0.5</v>
      </c>
      <c r="K50" s="7">
        <v>0.8</v>
      </c>
      <c r="L50" s="7">
        <v>1</v>
      </c>
      <c r="M50" s="7">
        <v>2</v>
      </c>
      <c r="N50" s="7">
        <v>2</v>
      </c>
      <c r="O50" s="7">
        <v>2</v>
      </c>
      <c r="Q50" s="8">
        <f t="shared" si="21"/>
        <v>5</v>
      </c>
      <c r="R50" s="8">
        <f t="shared" si="22"/>
        <v>0.5</v>
      </c>
      <c r="S50" s="8">
        <f t="shared" si="23"/>
        <v>1</v>
      </c>
      <c r="T50" s="8">
        <f t="shared" si="24"/>
        <v>2</v>
      </c>
      <c r="U50" s="8">
        <f t="shared" si="25"/>
        <v>2.5</v>
      </c>
      <c r="V50" s="8">
        <f t="shared" si="26"/>
        <v>4</v>
      </c>
      <c r="W50" s="8">
        <f t="shared" si="27"/>
        <v>5</v>
      </c>
      <c r="X50" s="8">
        <f t="shared" si="28"/>
        <v>10</v>
      </c>
      <c r="Y50" s="8">
        <f t="shared" si="29"/>
        <v>10</v>
      </c>
      <c r="Z50" s="8">
        <f t="shared" si="30"/>
        <v>10</v>
      </c>
      <c r="AA50" s="9">
        <f t="shared" si="10"/>
        <v>50</v>
      </c>
    </row>
    <row r="51" spans="1:27" ht="39" thickBot="1" x14ac:dyDescent="0.3">
      <c r="A51" s="343"/>
      <c r="B51" s="25" t="s">
        <v>73</v>
      </c>
      <c r="C51" s="4" t="s">
        <v>74</v>
      </c>
      <c r="D51" s="32">
        <v>0</v>
      </c>
      <c r="E51" s="7">
        <v>1</v>
      </c>
      <c r="F51" s="7">
        <v>0.15</v>
      </c>
      <c r="G51" s="7">
        <v>0.15</v>
      </c>
      <c r="H51" s="7">
        <v>0.2</v>
      </c>
      <c r="I51" s="7">
        <v>0.2</v>
      </c>
      <c r="J51" s="7">
        <v>0.3</v>
      </c>
      <c r="K51" s="33">
        <v>0</v>
      </c>
      <c r="L51" s="33">
        <v>0</v>
      </c>
      <c r="M51" s="33">
        <v>0</v>
      </c>
      <c r="N51" s="33">
        <v>0</v>
      </c>
      <c r="O51" s="33">
        <v>0</v>
      </c>
      <c r="Q51" s="8">
        <f t="shared" si="21"/>
        <v>0</v>
      </c>
      <c r="R51" s="8">
        <f t="shared" si="22"/>
        <v>0</v>
      </c>
      <c r="S51" s="8">
        <f t="shared" si="23"/>
        <v>0</v>
      </c>
      <c r="T51" s="8">
        <f t="shared" si="24"/>
        <v>0</v>
      </c>
      <c r="U51" s="8">
        <f t="shared" si="25"/>
        <v>0</v>
      </c>
      <c r="V51" s="8">
        <f t="shared" si="26"/>
        <v>0</v>
      </c>
      <c r="W51" s="8">
        <f t="shared" si="27"/>
        <v>0</v>
      </c>
      <c r="X51" s="8">
        <f t="shared" si="28"/>
        <v>0</v>
      </c>
      <c r="Y51" s="8">
        <f t="shared" si="29"/>
        <v>0</v>
      </c>
      <c r="Z51" s="8">
        <f t="shared" si="30"/>
        <v>0</v>
      </c>
      <c r="AA51" s="9">
        <f t="shared" si="10"/>
        <v>0</v>
      </c>
    </row>
    <row r="52" spans="1:27" ht="39" thickBot="1" x14ac:dyDescent="0.3">
      <c r="A52" s="343"/>
      <c r="B52" s="333" t="s">
        <v>75</v>
      </c>
      <c r="C52" s="4" t="s">
        <v>76</v>
      </c>
      <c r="D52" s="32">
        <v>4</v>
      </c>
      <c r="E52" s="32">
        <v>51</v>
      </c>
      <c r="F52" s="7">
        <v>1.25</v>
      </c>
      <c r="G52" s="7">
        <v>1.25</v>
      </c>
      <c r="H52" s="7">
        <v>1.25</v>
      </c>
      <c r="I52" s="7">
        <v>1.25</v>
      </c>
      <c r="J52" s="7">
        <v>1.25</v>
      </c>
      <c r="K52" s="7">
        <v>1.25</v>
      </c>
      <c r="L52" s="7">
        <v>1.25</v>
      </c>
      <c r="M52" s="7">
        <v>1</v>
      </c>
      <c r="N52" s="7">
        <v>1</v>
      </c>
      <c r="O52" s="7">
        <v>1</v>
      </c>
      <c r="Q52" s="8">
        <f t="shared" si="21"/>
        <v>4</v>
      </c>
      <c r="R52" s="8">
        <f t="shared" si="22"/>
        <v>5</v>
      </c>
      <c r="S52" s="8">
        <f t="shared" si="23"/>
        <v>5</v>
      </c>
      <c r="T52" s="8">
        <f t="shared" si="24"/>
        <v>5</v>
      </c>
      <c r="U52" s="8">
        <f t="shared" si="25"/>
        <v>5</v>
      </c>
      <c r="V52" s="8">
        <f t="shared" si="26"/>
        <v>5</v>
      </c>
      <c r="W52" s="8">
        <f t="shared" si="27"/>
        <v>5</v>
      </c>
      <c r="X52" s="8">
        <f t="shared" si="28"/>
        <v>4</v>
      </c>
      <c r="Y52" s="8">
        <f t="shared" si="29"/>
        <v>4</v>
      </c>
      <c r="Z52" s="8">
        <f t="shared" si="30"/>
        <v>4</v>
      </c>
      <c r="AA52" s="9">
        <f t="shared" si="10"/>
        <v>46</v>
      </c>
    </row>
    <row r="53" spans="1:27" ht="39" thickBot="1" x14ac:dyDescent="0.3">
      <c r="A53" s="343"/>
      <c r="B53" s="334"/>
      <c r="C53" s="4" t="s">
        <v>77</v>
      </c>
      <c r="D53" s="32">
        <v>18</v>
      </c>
      <c r="E53" s="32">
        <v>200</v>
      </c>
      <c r="F53" s="7">
        <v>1.5</v>
      </c>
      <c r="G53" s="7">
        <v>1.5</v>
      </c>
      <c r="H53" s="7">
        <v>1.5</v>
      </c>
      <c r="I53" s="7">
        <v>2</v>
      </c>
      <c r="J53" s="7">
        <v>2</v>
      </c>
      <c r="K53" s="7">
        <v>1</v>
      </c>
      <c r="L53" s="7">
        <v>0.2</v>
      </c>
      <c r="M53" s="7">
        <v>0.2</v>
      </c>
      <c r="N53" s="7">
        <v>0.12</v>
      </c>
      <c r="O53" s="7">
        <v>0.11</v>
      </c>
      <c r="Q53" s="8">
        <f t="shared" si="21"/>
        <v>18</v>
      </c>
      <c r="R53" s="8">
        <f t="shared" si="22"/>
        <v>27</v>
      </c>
      <c r="S53" s="8">
        <f t="shared" si="23"/>
        <v>27</v>
      </c>
      <c r="T53" s="8">
        <f t="shared" si="24"/>
        <v>36</v>
      </c>
      <c r="U53" s="8">
        <f t="shared" si="25"/>
        <v>36</v>
      </c>
      <c r="V53" s="8">
        <f t="shared" si="26"/>
        <v>18</v>
      </c>
      <c r="W53" s="8">
        <f t="shared" si="27"/>
        <v>3.6</v>
      </c>
      <c r="X53" s="8">
        <f t="shared" si="28"/>
        <v>3.6</v>
      </c>
      <c r="Y53" s="8">
        <f t="shared" si="29"/>
        <v>2.16</v>
      </c>
      <c r="Z53" s="8">
        <f t="shared" si="30"/>
        <v>1.98</v>
      </c>
      <c r="AA53" s="9">
        <f t="shared" si="10"/>
        <v>173.33999999999997</v>
      </c>
    </row>
    <row r="54" spans="1:27" ht="39" thickBot="1" x14ac:dyDescent="0.3">
      <c r="A54" s="343"/>
      <c r="B54" s="334"/>
      <c r="C54" s="4" t="s">
        <v>78</v>
      </c>
      <c r="D54" s="32">
        <v>36</v>
      </c>
      <c r="E54" s="32">
        <v>400</v>
      </c>
      <c r="F54" s="7">
        <v>2</v>
      </c>
      <c r="G54" s="7">
        <v>1</v>
      </c>
      <c r="H54" s="7">
        <v>1.2</v>
      </c>
      <c r="I54" s="7">
        <v>1.2</v>
      </c>
      <c r="J54" s="7">
        <v>1.5</v>
      </c>
      <c r="K54" s="7">
        <v>1</v>
      </c>
      <c r="L54" s="7">
        <v>1</v>
      </c>
      <c r="M54" s="7">
        <v>1</v>
      </c>
      <c r="N54" s="7">
        <v>0.11</v>
      </c>
      <c r="O54" s="7">
        <v>0.11</v>
      </c>
      <c r="Q54" s="8">
        <f t="shared" si="21"/>
        <v>36</v>
      </c>
      <c r="R54" s="8">
        <f t="shared" si="22"/>
        <v>36</v>
      </c>
      <c r="S54" s="8">
        <f t="shared" si="23"/>
        <v>43.199999999999996</v>
      </c>
      <c r="T54" s="8">
        <f t="shared" si="24"/>
        <v>43.199999999999996</v>
      </c>
      <c r="U54" s="8">
        <f t="shared" si="25"/>
        <v>54</v>
      </c>
      <c r="V54" s="8">
        <f t="shared" si="26"/>
        <v>36</v>
      </c>
      <c r="W54" s="8">
        <f t="shared" si="27"/>
        <v>36</v>
      </c>
      <c r="X54" s="8">
        <f t="shared" si="28"/>
        <v>36</v>
      </c>
      <c r="Y54" s="8">
        <f t="shared" si="29"/>
        <v>3.96</v>
      </c>
      <c r="Z54" s="8">
        <f t="shared" si="30"/>
        <v>3.96</v>
      </c>
      <c r="AA54" s="9">
        <f t="shared" si="10"/>
        <v>328.31999999999994</v>
      </c>
    </row>
    <row r="55" spans="1:27" ht="26.25" thickBot="1" x14ac:dyDescent="0.3">
      <c r="A55" s="343"/>
      <c r="B55" s="334"/>
      <c r="C55" s="4" t="s">
        <v>79</v>
      </c>
      <c r="D55" s="32">
        <v>17</v>
      </c>
      <c r="E55" s="32">
        <v>200</v>
      </c>
      <c r="F55" s="7">
        <v>1.5</v>
      </c>
      <c r="G55" s="7">
        <v>1.2</v>
      </c>
      <c r="H55" s="7">
        <v>1.1000000000000001</v>
      </c>
      <c r="I55" s="7">
        <v>1</v>
      </c>
      <c r="J55" s="7">
        <v>1</v>
      </c>
      <c r="K55" s="7">
        <v>0.9</v>
      </c>
      <c r="L55" s="7">
        <v>0.9</v>
      </c>
      <c r="M55" s="7">
        <v>0.9</v>
      </c>
      <c r="N55" s="7">
        <v>1</v>
      </c>
      <c r="O55" s="7">
        <v>1.25</v>
      </c>
      <c r="Q55" s="8">
        <f t="shared" si="21"/>
        <v>17</v>
      </c>
      <c r="R55" s="8">
        <f t="shared" si="22"/>
        <v>20.399999999999999</v>
      </c>
      <c r="S55" s="8">
        <f t="shared" si="23"/>
        <v>18.700000000000003</v>
      </c>
      <c r="T55" s="8">
        <f t="shared" si="24"/>
        <v>17</v>
      </c>
      <c r="U55" s="8">
        <f t="shared" si="25"/>
        <v>17</v>
      </c>
      <c r="V55" s="8">
        <f t="shared" si="26"/>
        <v>15.3</v>
      </c>
      <c r="W55" s="8">
        <f t="shared" si="27"/>
        <v>15.3</v>
      </c>
      <c r="X55" s="8">
        <f t="shared" si="28"/>
        <v>15.3</v>
      </c>
      <c r="Y55" s="8">
        <f t="shared" si="29"/>
        <v>17</v>
      </c>
      <c r="Z55" s="8">
        <f t="shared" si="30"/>
        <v>21.25</v>
      </c>
      <c r="AA55" s="9">
        <f t="shared" si="10"/>
        <v>174.25</v>
      </c>
    </row>
    <row r="56" spans="1:27" ht="26.25" thickBot="1" x14ac:dyDescent="0.3">
      <c r="A56" s="343"/>
      <c r="B56" s="334"/>
      <c r="C56" s="4" t="s">
        <v>80</v>
      </c>
      <c r="D56" s="32">
        <v>2</v>
      </c>
      <c r="E56" s="32">
        <v>200</v>
      </c>
      <c r="F56" s="7">
        <v>9</v>
      </c>
      <c r="G56" s="7">
        <v>9</v>
      </c>
      <c r="H56" s="7">
        <v>9</v>
      </c>
      <c r="I56" s="7">
        <v>9</v>
      </c>
      <c r="J56" s="7">
        <v>9</v>
      </c>
      <c r="K56" s="7">
        <v>9</v>
      </c>
      <c r="L56" s="7">
        <v>9</v>
      </c>
      <c r="M56" s="7">
        <v>10</v>
      </c>
      <c r="N56" s="7">
        <v>10.9</v>
      </c>
      <c r="O56" s="7">
        <v>15</v>
      </c>
      <c r="Q56" s="8">
        <f t="shared" si="21"/>
        <v>2</v>
      </c>
      <c r="R56" s="8">
        <f t="shared" si="22"/>
        <v>18</v>
      </c>
      <c r="S56" s="8">
        <f t="shared" si="23"/>
        <v>18</v>
      </c>
      <c r="T56" s="8">
        <f t="shared" si="24"/>
        <v>18</v>
      </c>
      <c r="U56" s="8">
        <f t="shared" si="25"/>
        <v>18</v>
      </c>
      <c r="V56" s="8">
        <f t="shared" si="26"/>
        <v>18</v>
      </c>
      <c r="W56" s="8">
        <f t="shared" si="27"/>
        <v>18</v>
      </c>
      <c r="X56" s="8">
        <f t="shared" si="28"/>
        <v>20</v>
      </c>
      <c r="Y56" s="8">
        <f t="shared" si="29"/>
        <v>21.8</v>
      </c>
      <c r="Z56" s="8">
        <f t="shared" si="30"/>
        <v>30</v>
      </c>
      <c r="AA56" s="9">
        <f t="shared" si="10"/>
        <v>181.8</v>
      </c>
    </row>
    <row r="57" spans="1:27" ht="26.25" thickBot="1" x14ac:dyDescent="0.3">
      <c r="A57" s="343"/>
      <c r="B57" s="334"/>
      <c r="C57" s="4" t="s">
        <v>81</v>
      </c>
      <c r="D57" s="32">
        <v>6</v>
      </c>
      <c r="E57" s="32">
        <v>190</v>
      </c>
      <c r="F57" s="7">
        <v>4</v>
      </c>
      <c r="G57" s="7">
        <v>5</v>
      </c>
      <c r="H57" s="7">
        <v>8</v>
      </c>
      <c r="I57" s="7">
        <v>9</v>
      </c>
      <c r="J57" s="7">
        <v>9</v>
      </c>
      <c r="K57" s="7">
        <v>9</v>
      </c>
      <c r="L57" s="7">
        <v>9</v>
      </c>
      <c r="M57" s="7">
        <v>9</v>
      </c>
      <c r="N57" s="7">
        <v>9</v>
      </c>
      <c r="O57" s="7">
        <v>9</v>
      </c>
      <c r="Q57" s="8">
        <f t="shared" si="21"/>
        <v>6</v>
      </c>
      <c r="R57" s="8">
        <f t="shared" si="22"/>
        <v>30</v>
      </c>
      <c r="S57" s="8">
        <f t="shared" si="23"/>
        <v>48</v>
      </c>
      <c r="T57" s="8">
        <f t="shared" si="24"/>
        <v>54</v>
      </c>
      <c r="U57" s="8">
        <f t="shared" si="25"/>
        <v>54</v>
      </c>
      <c r="V57" s="8">
        <f t="shared" si="26"/>
        <v>54</v>
      </c>
      <c r="W57" s="8">
        <f t="shared" si="27"/>
        <v>54</v>
      </c>
      <c r="X57" s="8">
        <f t="shared" si="28"/>
        <v>54</v>
      </c>
      <c r="Y57" s="8">
        <f t="shared" si="29"/>
        <v>54</v>
      </c>
      <c r="Z57" s="8">
        <f t="shared" si="30"/>
        <v>54</v>
      </c>
      <c r="AA57" s="9">
        <f t="shared" si="10"/>
        <v>462</v>
      </c>
    </row>
    <row r="58" spans="1:27" ht="51.75" thickBot="1" x14ac:dyDescent="0.3">
      <c r="A58" s="343"/>
      <c r="B58" s="335"/>
      <c r="C58" s="4" t="s">
        <v>82</v>
      </c>
      <c r="D58" s="32">
        <v>0</v>
      </c>
      <c r="E58" s="7">
        <v>1</v>
      </c>
      <c r="F58" s="7">
        <v>0.1</v>
      </c>
      <c r="G58" s="7">
        <v>0.1</v>
      </c>
      <c r="H58" s="7">
        <v>0.1</v>
      </c>
      <c r="I58" s="7">
        <v>0.1</v>
      </c>
      <c r="J58" s="7">
        <v>0.1</v>
      </c>
      <c r="K58" s="7">
        <v>0.1</v>
      </c>
      <c r="L58" s="7">
        <v>0.1</v>
      </c>
      <c r="M58" s="7">
        <v>0.1</v>
      </c>
      <c r="N58" s="7">
        <v>0.1</v>
      </c>
      <c r="O58" s="7">
        <v>0.1</v>
      </c>
      <c r="Q58" s="8">
        <f t="shared" si="21"/>
        <v>0</v>
      </c>
      <c r="R58" s="8">
        <f t="shared" si="22"/>
        <v>0</v>
      </c>
      <c r="S58" s="8">
        <f t="shared" si="23"/>
        <v>0</v>
      </c>
      <c r="T58" s="8">
        <f t="shared" si="24"/>
        <v>0</v>
      </c>
      <c r="U58" s="8">
        <f t="shared" si="25"/>
        <v>0</v>
      </c>
      <c r="V58" s="8">
        <f t="shared" si="26"/>
        <v>0</v>
      </c>
      <c r="W58" s="8">
        <f t="shared" si="27"/>
        <v>0</v>
      </c>
      <c r="X58" s="8">
        <f t="shared" si="28"/>
        <v>0</v>
      </c>
      <c r="Y58" s="8">
        <f t="shared" si="29"/>
        <v>0</v>
      </c>
      <c r="Z58" s="8">
        <f t="shared" si="30"/>
        <v>0</v>
      </c>
      <c r="AA58" s="9">
        <f t="shared" si="10"/>
        <v>0</v>
      </c>
    </row>
    <row r="59" spans="1:27" ht="51.75" thickBot="1" x14ac:dyDescent="0.3">
      <c r="A59" s="343"/>
      <c r="B59" s="25" t="s">
        <v>83</v>
      </c>
      <c r="C59" s="4" t="s">
        <v>84</v>
      </c>
      <c r="D59" s="32">
        <v>0</v>
      </c>
      <c r="E59" s="7">
        <v>1</v>
      </c>
      <c r="F59" s="7">
        <v>0.5</v>
      </c>
      <c r="G59" s="7">
        <v>0.5</v>
      </c>
      <c r="H59" s="7">
        <v>0</v>
      </c>
      <c r="I59" s="7">
        <v>0</v>
      </c>
      <c r="J59" s="7">
        <v>0</v>
      </c>
      <c r="K59" s="33">
        <v>0</v>
      </c>
      <c r="L59" s="33">
        <v>0</v>
      </c>
      <c r="M59" s="33">
        <v>0</v>
      </c>
      <c r="N59" s="33">
        <v>0</v>
      </c>
      <c r="O59" s="33">
        <v>0</v>
      </c>
      <c r="Q59" s="8">
        <f t="shared" si="21"/>
        <v>0</v>
      </c>
      <c r="R59" s="8">
        <f t="shared" si="22"/>
        <v>0</v>
      </c>
      <c r="S59" s="8">
        <f t="shared" si="23"/>
        <v>0</v>
      </c>
      <c r="T59" s="8">
        <f t="shared" si="24"/>
        <v>0</v>
      </c>
      <c r="U59" s="8">
        <f t="shared" si="25"/>
        <v>0</v>
      </c>
      <c r="V59" s="8">
        <f t="shared" si="26"/>
        <v>0</v>
      </c>
      <c r="W59" s="8">
        <f t="shared" si="27"/>
        <v>0</v>
      </c>
      <c r="X59" s="8">
        <f t="shared" si="28"/>
        <v>0</v>
      </c>
      <c r="Y59" s="8">
        <f t="shared" si="29"/>
        <v>0</v>
      </c>
      <c r="Z59" s="8">
        <f t="shared" si="30"/>
        <v>0</v>
      </c>
      <c r="AA59" s="9">
        <f t="shared" si="10"/>
        <v>0</v>
      </c>
    </row>
    <row r="60" spans="1:27" ht="39" thickBot="1" x14ac:dyDescent="0.3">
      <c r="A60" s="343"/>
      <c r="B60" s="333" t="s">
        <v>85</v>
      </c>
      <c r="C60" s="4" t="s">
        <v>86</v>
      </c>
      <c r="D60" s="32">
        <v>0</v>
      </c>
      <c r="E60" s="32">
        <v>11</v>
      </c>
      <c r="F60" s="7">
        <v>0.1</v>
      </c>
      <c r="G60" s="7">
        <v>0.1</v>
      </c>
      <c r="H60" s="7">
        <v>0.1</v>
      </c>
      <c r="I60" s="7">
        <v>0.1</v>
      </c>
      <c r="J60" s="7">
        <v>0.1</v>
      </c>
      <c r="K60" s="7">
        <v>0.1</v>
      </c>
      <c r="L60" s="7">
        <v>0.1</v>
      </c>
      <c r="M60" s="7">
        <v>0.1</v>
      </c>
      <c r="N60" s="7">
        <v>0.1</v>
      </c>
      <c r="O60" s="7">
        <v>0.1</v>
      </c>
      <c r="Q60" s="8">
        <f t="shared" si="21"/>
        <v>0</v>
      </c>
      <c r="R60" s="8">
        <f t="shared" si="22"/>
        <v>0</v>
      </c>
      <c r="S60" s="8">
        <f t="shared" si="23"/>
        <v>0</v>
      </c>
      <c r="T60" s="8">
        <f t="shared" si="24"/>
        <v>0</v>
      </c>
      <c r="U60" s="8">
        <f t="shared" si="25"/>
        <v>0</v>
      </c>
      <c r="V60" s="8">
        <f t="shared" si="26"/>
        <v>0</v>
      </c>
      <c r="W60" s="8">
        <f t="shared" si="27"/>
        <v>0</v>
      </c>
      <c r="X60" s="8">
        <f t="shared" si="28"/>
        <v>0</v>
      </c>
      <c r="Y60" s="8">
        <f t="shared" si="29"/>
        <v>0</v>
      </c>
      <c r="Z60" s="8">
        <f t="shared" si="30"/>
        <v>0</v>
      </c>
      <c r="AA60" s="9">
        <f t="shared" si="10"/>
        <v>0</v>
      </c>
    </row>
    <row r="61" spans="1:27" ht="51.75" thickBot="1" x14ac:dyDescent="0.3">
      <c r="A61" s="343"/>
      <c r="B61" s="335"/>
      <c r="C61" s="4" t="s">
        <v>87</v>
      </c>
      <c r="D61" s="32">
        <v>0</v>
      </c>
      <c r="E61" s="32">
        <v>10</v>
      </c>
      <c r="F61" s="7">
        <v>0.1</v>
      </c>
      <c r="G61" s="7">
        <v>0.1</v>
      </c>
      <c r="H61" s="7">
        <v>0.1</v>
      </c>
      <c r="I61" s="7">
        <v>0.1</v>
      </c>
      <c r="J61" s="7">
        <v>0.1</v>
      </c>
      <c r="K61" s="7">
        <v>0.1</v>
      </c>
      <c r="L61" s="7">
        <v>0.1</v>
      </c>
      <c r="M61" s="7">
        <v>0.1</v>
      </c>
      <c r="N61" s="7">
        <v>0.1</v>
      </c>
      <c r="O61" s="7">
        <v>0.1</v>
      </c>
      <c r="Q61" s="8">
        <f t="shared" si="21"/>
        <v>0</v>
      </c>
      <c r="R61" s="8">
        <f t="shared" si="22"/>
        <v>0</v>
      </c>
      <c r="S61" s="8">
        <f t="shared" si="23"/>
        <v>0</v>
      </c>
      <c r="T61" s="8">
        <f t="shared" si="24"/>
        <v>0</v>
      </c>
      <c r="U61" s="8">
        <f t="shared" si="25"/>
        <v>0</v>
      </c>
      <c r="V61" s="8">
        <f t="shared" si="26"/>
        <v>0</v>
      </c>
      <c r="W61" s="8">
        <f t="shared" si="27"/>
        <v>0</v>
      </c>
      <c r="X61" s="8">
        <f t="shared" si="28"/>
        <v>0</v>
      </c>
      <c r="Y61" s="8">
        <f t="shared" si="29"/>
        <v>0</v>
      </c>
      <c r="Z61" s="8">
        <f t="shared" si="30"/>
        <v>0</v>
      </c>
      <c r="AA61" s="9">
        <f t="shared" si="10"/>
        <v>0</v>
      </c>
    </row>
    <row r="62" spans="1:27" ht="64.5" thickBot="1" x14ac:dyDescent="0.3">
      <c r="A62" s="343"/>
      <c r="B62" s="333" t="s">
        <v>88</v>
      </c>
      <c r="C62" s="18" t="s">
        <v>89</v>
      </c>
      <c r="D62" s="33">
        <v>0</v>
      </c>
      <c r="E62" s="33">
        <v>1</v>
      </c>
      <c r="F62" s="34">
        <v>0.3</v>
      </c>
      <c r="G62" s="34">
        <v>0.3</v>
      </c>
      <c r="H62" s="34">
        <v>0.4</v>
      </c>
      <c r="I62" s="34">
        <v>0</v>
      </c>
      <c r="J62" s="34">
        <v>0</v>
      </c>
      <c r="K62" s="34">
        <v>0</v>
      </c>
      <c r="L62" s="34">
        <v>0</v>
      </c>
      <c r="M62" s="34">
        <v>0</v>
      </c>
      <c r="N62" s="34">
        <v>0</v>
      </c>
      <c r="O62" s="34">
        <v>0</v>
      </c>
      <c r="Q62" s="8">
        <f t="shared" si="21"/>
        <v>0</v>
      </c>
      <c r="R62" s="8">
        <f t="shared" si="22"/>
        <v>0</v>
      </c>
      <c r="S62" s="8">
        <f t="shared" si="23"/>
        <v>0</v>
      </c>
      <c r="T62" s="8">
        <f t="shared" si="24"/>
        <v>0</v>
      </c>
      <c r="U62" s="8">
        <f t="shared" si="25"/>
        <v>0</v>
      </c>
      <c r="V62" s="8">
        <f t="shared" si="26"/>
        <v>0</v>
      </c>
      <c r="W62" s="8">
        <f t="shared" si="27"/>
        <v>0</v>
      </c>
      <c r="X62" s="8">
        <f t="shared" si="28"/>
        <v>0</v>
      </c>
      <c r="Y62" s="8">
        <f t="shared" si="29"/>
        <v>0</v>
      </c>
      <c r="Z62" s="8">
        <f t="shared" si="30"/>
        <v>0</v>
      </c>
      <c r="AA62" s="9">
        <f t="shared" si="10"/>
        <v>0</v>
      </c>
    </row>
    <row r="63" spans="1:27" ht="51.75" thickBot="1" x14ac:dyDescent="0.3">
      <c r="A63" s="343"/>
      <c r="B63" s="334"/>
      <c r="C63" s="18" t="s">
        <v>90</v>
      </c>
      <c r="D63" s="35">
        <v>0</v>
      </c>
      <c r="E63" s="35">
        <v>1</v>
      </c>
      <c r="F63" s="34">
        <v>0.5</v>
      </c>
      <c r="G63" s="34">
        <v>0.4</v>
      </c>
      <c r="H63" s="34">
        <v>0.1</v>
      </c>
      <c r="I63" s="34">
        <v>0</v>
      </c>
      <c r="J63" s="34">
        <v>0</v>
      </c>
      <c r="K63" s="34">
        <v>0</v>
      </c>
      <c r="L63" s="34">
        <v>0</v>
      </c>
      <c r="M63" s="34">
        <v>0</v>
      </c>
      <c r="N63" s="34">
        <v>0</v>
      </c>
      <c r="O63" s="34">
        <v>0</v>
      </c>
      <c r="Q63" s="8">
        <f t="shared" si="21"/>
        <v>0</v>
      </c>
      <c r="R63" s="8">
        <f t="shared" si="22"/>
        <v>0</v>
      </c>
      <c r="S63" s="8">
        <f t="shared" si="23"/>
        <v>0</v>
      </c>
      <c r="T63" s="8">
        <f t="shared" si="24"/>
        <v>0</v>
      </c>
      <c r="U63" s="8">
        <f t="shared" si="25"/>
        <v>0</v>
      </c>
      <c r="V63" s="8">
        <f t="shared" si="26"/>
        <v>0</v>
      </c>
      <c r="W63" s="8">
        <f t="shared" si="27"/>
        <v>0</v>
      </c>
      <c r="X63" s="8">
        <f t="shared" si="28"/>
        <v>0</v>
      </c>
      <c r="Y63" s="8">
        <f t="shared" si="29"/>
        <v>0</v>
      </c>
      <c r="Z63" s="8">
        <f t="shared" si="30"/>
        <v>0</v>
      </c>
      <c r="AA63" s="9">
        <f t="shared" si="10"/>
        <v>0</v>
      </c>
    </row>
    <row r="64" spans="1:27" ht="39" thickBot="1" x14ac:dyDescent="0.3">
      <c r="A64" s="343"/>
      <c r="B64" s="335"/>
      <c r="C64" s="18" t="s">
        <v>91</v>
      </c>
      <c r="D64" s="35">
        <v>0</v>
      </c>
      <c r="E64" s="35">
        <v>1</v>
      </c>
      <c r="F64" s="34">
        <v>0.5</v>
      </c>
      <c r="G64" s="34">
        <v>0.5</v>
      </c>
      <c r="H64" s="34">
        <v>0</v>
      </c>
      <c r="I64" s="34">
        <v>0</v>
      </c>
      <c r="J64" s="34">
        <v>0</v>
      </c>
      <c r="K64" s="34">
        <v>0</v>
      </c>
      <c r="L64" s="34">
        <v>0</v>
      </c>
      <c r="M64" s="34">
        <v>0</v>
      </c>
      <c r="N64" s="34">
        <v>0</v>
      </c>
      <c r="O64" s="34">
        <v>0</v>
      </c>
      <c r="Q64" s="8">
        <f t="shared" si="21"/>
        <v>0</v>
      </c>
      <c r="R64" s="8">
        <f t="shared" si="22"/>
        <v>0</v>
      </c>
      <c r="S64" s="8">
        <f t="shared" si="23"/>
        <v>0</v>
      </c>
      <c r="T64" s="8">
        <f t="shared" si="24"/>
        <v>0</v>
      </c>
      <c r="U64" s="8">
        <f t="shared" si="25"/>
        <v>0</v>
      </c>
      <c r="V64" s="8">
        <f t="shared" si="26"/>
        <v>0</v>
      </c>
      <c r="W64" s="8">
        <f t="shared" si="27"/>
        <v>0</v>
      </c>
      <c r="X64" s="8">
        <f t="shared" si="28"/>
        <v>0</v>
      </c>
      <c r="Y64" s="8">
        <f t="shared" si="29"/>
        <v>0</v>
      </c>
      <c r="Z64" s="8">
        <f t="shared" si="30"/>
        <v>0</v>
      </c>
      <c r="AA64" s="9">
        <f t="shared" si="10"/>
        <v>0</v>
      </c>
    </row>
    <row r="65" spans="1:27" ht="51.75" thickBot="1" x14ac:dyDescent="0.3">
      <c r="A65" s="343"/>
      <c r="B65" s="333" t="s">
        <v>92</v>
      </c>
      <c r="C65" s="4" t="s">
        <v>93</v>
      </c>
      <c r="D65" s="36">
        <v>0</v>
      </c>
      <c r="E65" s="37">
        <v>10</v>
      </c>
      <c r="F65" s="7">
        <v>0.1</v>
      </c>
      <c r="G65" s="7">
        <v>0.1</v>
      </c>
      <c r="H65" s="7">
        <v>0.1</v>
      </c>
      <c r="I65" s="7">
        <v>0.1</v>
      </c>
      <c r="J65" s="7">
        <v>0.1</v>
      </c>
      <c r="K65" s="7">
        <v>0.1</v>
      </c>
      <c r="L65" s="7">
        <v>0.1</v>
      </c>
      <c r="M65" s="7">
        <v>0.1</v>
      </c>
      <c r="N65" s="7">
        <v>0.1</v>
      </c>
      <c r="O65" s="7">
        <v>0.1</v>
      </c>
      <c r="Q65" s="8">
        <f t="shared" si="21"/>
        <v>0</v>
      </c>
      <c r="R65" s="8">
        <f t="shared" si="22"/>
        <v>0</v>
      </c>
      <c r="S65" s="8">
        <f t="shared" si="23"/>
        <v>0</v>
      </c>
      <c r="T65" s="8">
        <f t="shared" si="24"/>
        <v>0</v>
      </c>
      <c r="U65" s="8">
        <f t="shared" si="25"/>
        <v>0</v>
      </c>
      <c r="V65" s="8">
        <f t="shared" si="26"/>
        <v>0</v>
      </c>
      <c r="W65" s="8">
        <f t="shared" si="27"/>
        <v>0</v>
      </c>
      <c r="X65" s="8">
        <f t="shared" si="28"/>
        <v>0</v>
      </c>
      <c r="Y65" s="8">
        <f t="shared" si="29"/>
        <v>0</v>
      </c>
      <c r="Z65" s="8">
        <f t="shared" si="30"/>
        <v>0</v>
      </c>
      <c r="AA65" s="9">
        <f t="shared" si="10"/>
        <v>0</v>
      </c>
    </row>
    <row r="66" spans="1:27" ht="64.5" thickBot="1" x14ac:dyDescent="0.3">
      <c r="A66" s="343"/>
      <c r="B66" s="335"/>
      <c r="C66" s="4" t="s">
        <v>94</v>
      </c>
      <c r="D66" s="32">
        <v>0</v>
      </c>
      <c r="E66" s="32">
        <v>10</v>
      </c>
      <c r="F66" s="7">
        <v>0.1</v>
      </c>
      <c r="G66" s="7">
        <v>0.1</v>
      </c>
      <c r="H66" s="7">
        <v>0.1</v>
      </c>
      <c r="I66" s="7">
        <v>0.1</v>
      </c>
      <c r="J66" s="7">
        <v>0.1</v>
      </c>
      <c r="K66" s="7">
        <v>0.1</v>
      </c>
      <c r="L66" s="7">
        <v>0.1</v>
      </c>
      <c r="M66" s="7">
        <v>0.1</v>
      </c>
      <c r="N66" s="7">
        <v>0.1</v>
      </c>
      <c r="O66" s="7">
        <v>0.1</v>
      </c>
      <c r="Q66" s="8">
        <f t="shared" si="21"/>
        <v>0</v>
      </c>
      <c r="R66" s="8">
        <f t="shared" si="22"/>
        <v>0</v>
      </c>
      <c r="S66" s="8">
        <f t="shared" si="23"/>
        <v>0</v>
      </c>
      <c r="T66" s="8">
        <f t="shared" si="24"/>
        <v>0</v>
      </c>
      <c r="U66" s="8">
        <f t="shared" si="25"/>
        <v>0</v>
      </c>
      <c r="V66" s="8">
        <f t="shared" si="26"/>
        <v>0</v>
      </c>
      <c r="W66" s="8">
        <f t="shared" si="27"/>
        <v>0</v>
      </c>
      <c r="X66" s="8">
        <f t="shared" si="28"/>
        <v>0</v>
      </c>
      <c r="Y66" s="8">
        <f t="shared" si="29"/>
        <v>0</v>
      </c>
      <c r="Z66" s="8">
        <f t="shared" si="30"/>
        <v>0</v>
      </c>
      <c r="AA66" s="9">
        <f t="shared" si="10"/>
        <v>0</v>
      </c>
    </row>
    <row r="67" spans="1:27" ht="26.25" thickBot="1" x14ac:dyDescent="0.3">
      <c r="A67" s="343"/>
      <c r="B67" s="333" t="s">
        <v>95</v>
      </c>
      <c r="C67" s="18" t="s">
        <v>96</v>
      </c>
      <c r="D67" s="7">
        <v>0</v>
      </c>
      <c r="E67" s="34">
        <v>1</v>
      </c>
      <c r="F67" s="34">
        <v>0.25</v>
      </c>
      <c r="G67" s="34">
        <v>0.15</v>
      </c>
      <c r="H67" s="34">
        <v>0.15</v>
      </c>
      <c r="I67" s="34">
        <v>0.15</v>
      </c>
      <c r="J67" s="34">
        <v>0.15</v>
      </c>
      <c r="K67" s="34">
        <v>0.15</v>
      </c>
      <c r="L67" s="34">
        <v>0</v>
      </c>
      <c r="M67" s="34">
        <v>0</v>
      </c>
      <c r="N67" s="34">
        <v>0</v>
      </c>
      <c r="O67" s="34">
        <v>0</v>
      </c>
      <c r="Q67" s="8">
        <f t="shared" si="21"/>
        <v>0</v>
      </c>
      <c r="R67" s="8">
        <f t="shared" si="22"/>
        <v>0</v>
      </c>
      <c r="S67" s="8">
        <f t="shared" si="23"/>
        <v>0</v>
      </c>
      <c r="T67" s="8">
        <f t="shared" si="24"/>
        <v>0</v>
      </c>
      <c r="U67" s="8">
        <f t="shared" si="25"/>
        <v>0</v>
      </c>
      <c r="V67" s="8">
        <f t="shared" si="26"/>
        <v>0</v>
      </c>
      <c r="W67" s="8">
        <f t="shared" si="27"/>
        <v>0</v>
      </c>
      <c r="X67" s="8">
        <f t="shared" si="28"/>
        <v>0</v>
      </c>
      <c r="Y67" s="8">
        <f t="shared" si="29"/>
        <v>0</v>
      </c>
      <c r="Z67" s="8">
        <f t="shared" si="30"/>
        <v>0</v>
      </c>
      <c r="AA67" s="9">
        <f t="shared" si="10"/>
        <v>0</v>
      </c>
    </row>
    <row r="68" spans="1:27" ht="51.75" thickBot="1" x14ac:dyDescent="0.3">
      <c r="A68" s="343"/>
      <c r="B68" s="334"/>
      <c r="C68" s="18" t="s">
        <v>97</v>
      </c>
      <c r="D68" s="34">
        <v>0.1</v>
      </c>
      <c r="E68" s="38" t="s">
        <v>98</v>
      </c>
      <c r="F68" s="34">
        <v>0.15</v>
      </c>
      <c r="G68" s="34">
        <v>0.15</v>
      </c>
      <c r="H68" s="34">
        <v>0.15</v>
      </c>
      <c r="I68" s="34">
        <v>0.15</v>
      </c>
      <c r="J68" s="34">
        <v>0.1</v>
      </c>
      <c r="K68" s="34">
        <v>0.1</v>
      </c>
      <c r="L68" s="34">
        <v>0.1</v>
      </c>
      <c r="M68" s="34">
        <v>0</v>
      </c>
      <c r="N68" s="34">
        <v>0</v>
      </c>
      <c r="O68" s="34">
        <v>0</v>
      </c>
      <c r="Q68" s="8">
        <f t="shared" si="21"/>
        <v>0.1</v>
      </c>
      <c r="R68" s="8">
        <f t="shared" si="22"/>
        <v>1.4999999999999999E-2</v>
      </c>
      <c r="S68" s="8">
        <f t="shared" si="23"/>
        <v>1.4999999999999999E-2</v>
      </c>
      <c r="T68" s="8">
        <f t="shared" si="24"/>
        <v>1.4999999999999999E-2</v>
      </c>
      <c r="U68" s="8">
        <f t="shared" si="25"/>
        <v>1.0000000000000002E-2</v>
      </c>
      <c r="V68" s="8">
        <f t="shared" si="26"/>
        <v>1.0000000000000002E-2</v>
      </c>
      <c r="W68" s="8">
        <f t="shared" si="27"/>
        <v>1.0000000000000002E-2</v>
      </c>
      <c r="X68" s="8">
        <f t="shared" si="28"/>
        <v>0</v>
      </c>
      <c r="Y68" s="8">
        <f t="shared" si="29"/>
        <v>0</v>
      </c>
      <c r="Z68" s="8">
        <f t="shared" si="30"/>
        <v>0</v>
      </c>
      <c r="AA68" s="9">
        <f t="shared" si="10"/>
        <v>0.17500000000000004</v>
      </c>
    </row>
    <row r="69" spans="1:27" ht="15.75" thickBot="1" x14ac:dyDescent="0.3">
      <c r="A69" s="343"/>
      <c r="B69" s="334"/>
      <c r="C69" s="18" t="s">
        <v>99</v>
      </c>
      <c r="D69" s="34">
        <v>0.1</v>
      </c>
      <c r="E69" s="34">
        <v>1</v>
      </c>
      <c r="F69" s="34">
        <v>0.45</v>
      </c>
      <c r="G69" s="34">
        <v>0.45</v>
      </c>
      <c r="H69" s="34">
        <v>0</v>
      </c>
      <c r="I69" s="34">
        <v>0</v>
      </c>
      <c r="J69" s="34">
        <v>0</v>
      </c>
      <c r="K69" s="34">
        <v>0</v>
      </c>
      <c r="L69" s="34">
        <v>0</v>
      </c>
      <c r="M69" s="34">
        <v>0</v>
      </c>
      <c r="N69" s="34">
        <v>0</v>
      </c>
      <c r="O69" s="34">
        <v>0</v>
      </c>
      <c r="Q69" s="8">
        <f t="shared" si="21"/>
        <v>0.1</v>
      </c>
      <c r="R69" s="8">
        <f t="shared" si="22"/>
        <v>4.5000000000000005E-2</v>
      </c>
      <c r="S69" s="8">
        <f t="shared" si="23"/>
        <v>0</v>
      </c>
      <c r="T69" s="8">
        <f t="shared" si="24"/>
        <v>0</v>
      </c>
      <c r="U69" s="8">
        <f t="shared" si="25"/>
        <v>0</v>
      </c>
      <c r="V69" s="8">
        <f t="shared" si="26"/>
        <v>0</v>
      </c>
      <c r="W69" s="8">
        <f t="shared" si="27"/>
        <v>0</v>
      </c>
      <c r="X69" s="8">
        <f t="shared" si="28"/>
        <v>0</v>
      </c>
      <c r="Y69" s="8">
        <f t="shared" si="29"/>
        <v>0</v>
      </c>
      <c r="Z69" s="8">
        <f t="shared" si="30"/>
        <v>0</v>
      </c>
      <c r="AA69" s="9">
        <f t="shared" ref="AA69:AA97" si="31">SUM(Q69:Z69)</f>
        <v>0.14500000000000002</v>
      </c>
    </row>
    <row r="70" spans="1:27" ht="26.25" thickBot="1" x14ac:dyDescent="0.3">
      <c r="A70" s="344"/>
      <c r="B70" s="335"/>
      <c r="C70" s="18" t="s">
        <v>100</v>
      </c>
      <c r="D70" s="34">
        <v>0.5</v>
      </c>
      <c r="E70" s="34">
        <v>1</v>
      </c>
      <c r="F70" s="34">
        <v>0.05</v>
      </c>
      <c r="G70" s="34">
        <v>0.05</v>
      </c>
      <c r="H70" s="34">
        <v>0.05</v>
      </c>
      <c r="I70" s="34">
        <v>0.05</v>
      </c>
      <c r="J70" s="34">
        <v>0.05</v>
      </c>
      <c r="K70" s="34">
        <v>0.05</v>
      </c>
      <c r="L70" s="34">
        <v>0.05</v>
      </c>
      <c r="M70" s="34">
        <v>0.05</v>
      </c>
      <c r="N70" s="34">
        <v>0.05</v>
      </c>
      <c r="O70" s="34">
        <v>0.05</v>
      </c>
      <c r="Q70" s="8">
        <f t="shared" si="21"/>
        <v>0.5</v>
      </c>
      <c r="R70" s="8">
        <f t="shared" si="22"/>
        <v>2.5000000000000001E-2</v>
      </c>
      <c r="S70" s="8">
        <f t="shared" si="23"/>
        <v>2.5000000000000001E-2</v>
      </c>
      <c r="T70" s="8">
        <f t="shared" si="24"/>
        <v>2.5000000000000001E-2</v>
      </c>
      <c r="U70" s="8">
        <f t="shared" si="25"/>
        <v>2.5000000000000001E-2</v>
      </c>
      <c r="V70" s="8">
        <f t="shared" si="26"/>
        <v>2.5000000000000001E-2</v>
      </c>
      <c r="W70" s="8">
        <f t="shared" si="27"/>
        <v>2.5000000000000001E-2</v>
      </c>
      <c r="X70" s="8">
        <f t="shared" si="28"/>
        <v>2.5000000000000001E-2</v>
      </c>
      <c r="Y70" s="8">
        <f t="shared" si="29"/>
        <v>2.5000000000000001E-2</v>
      </c>
      <c r="Z70" s="8">
        <f t="shared" si="30"/>
        <v>2.5000000000000001E-2</v>
      </c>
      <c r="AA70" s="9">
        <f t="shared" si="31"/>
        <v>0.7250000000000002</v>
      </c>
    </row>
    <row r="71" spans="1:27" ht="15.75" thickBot="1" x14ac:dyDescent="0.3">
      <c r="AA71" s="9"/>
    </row>
    <row r="72" spans="1:27" ht="15.75" thickBot="1" x14ac:dyDescent="0.3">
      <c r="A72" s="358" t="s">
        <v>33</v>
      </c>
      <c r="B72" s="358" t="s">
        <v>8</v>
      </c>
      <c r="C72" s="360" t="s">
        <v>9</v>
      </c>
      <c r="D72" s="358" t="s">
        <v>10</v>
      </c>
      <c r="E72" s="358" t="s">
        <v>11</v>
      </c>
      <c r="F72" s="349" t="s">
        <v>12</v>
      </c>
      <c r="G72" s="350"/>
      <c r="H72" s="350"/>
      <c r="I72" s="350"/>
      <c r="J72" s="350"/>
      <c r="K72" s="350"/>
      <c r="L72" s="350"/>
      <c r="M72" s="350"/>
      <c r="N72" s="350"/>
      <c r="O72" s="351"/>
      <c r="Q72" s="349" t="s">
        <v>12</v>
      </c>
      <c r="R72" s="350"/>
      <c r="S72" s="350"/>
      <c r="T72" s="350"/>
      <c r="U72" s="350"/>
      <c r="V72" s="350"/>
      <c r="W72" s="350"/>
      <c r="X72" s="350"/>
      <c r="Y72" s="350"/>
      <c r="Z72" s="351"/>
      <c r="AA72" s="9"/>
    </row>
    <row r="73" spans="1:27" ht="15.75" thickBot="1" x14ac:dyDescent="0.3">
      <c r="A73" s="359"/>
      <c r="B73" s="359"/>
      <c r="C73" s="361"/>
      <c r="D73" s="359"/>
      <c r="E73" s="359"/>
      <c r="F73" s="39">
        <v>2015</v>
      </c>
      <c r="G73" s="39">
        <v>2016</v>
      </c>
      <c r="H73" s="39">
        <v>2017</v>
      </c>
      <c r="I73" s="39">
        <v>2018</v>
      </c>
      <c r="J73" s="39">
        <v>2019</v>
      </c>
      <c r="K73" s="39">
        <v>2020</v>
      </c>
      <c r="L73" s="39">
        <v>2021</v>
      </c>
      <c r="M73" s="39">
        <v>2022</v>
      </c>
      <c r="N73" s="39">
        <v>2023</v>
      </c>
      <c r="O73" s="39">
        <v>2024</v>
      </c>
      <c r="Q73" s="39">
        <v>2015</v>
      </c>
      <c r="R73" s="39">
        <v>2016</v>
      </c>
      <c r="S73" s="39">
        <v>2017</v>
      </c>
      <c r="T73" s="39">
        <v>2018</v>
      </c>
      <c r="U73" s="39">
        <v>2019</v>
      </c>
      <c r="V73" s="39">
        <v>2020</v>
      </c>
      <c r="W73" s="39">
        <v>2021</v>
      </c>
      <c r="X73" s="39">
        <v>2022</v>
      </c>
      <c r="Y73" s="39">
        <v>2023</v>
      </c>
      <c r="Z73" s="39">
        <v>2024</v>
      </c>
      <c r="AA73" s="9"/>
    </row>
    <row r="74" spans="1:27" ht="15.75" thickBot="1" x14ac:dyDescent="0.3">
      <c r="A74" s="352" t="s">
        <v>101</v>
      </c>
      <c r="B74" s="333" t="s">
        <v>102</v>
      </c>
      <c r="C74" s="18" t="s">
        <v>103</v>
      </c>
      <c r="D74" s="40">
        <v>1215</v>
      </c>
      <c r="E74" s="40">
        <v>1635</v>
      </c>
      <c r="F74" s="41">
        <v>0.03</v>
      </c>
      <c r="G74" s="41">
        <v>0.03</v>
      </c>
      <c r="H74" s="41">
        <v>0.03</v>
      </c>
      <c r="I74" s="41">
        <v>0.03</v>
      </c>
      <c r="J74" s="41">
        <v>0.03</v>
      </c>
      <c r="K74" s="41">
        <v>0.03</v>
      </c>
      <c r="L74" s="41">
        <v>0.04</v>
      </c>
      <c r="M74" s="41">
        <v>0.04</v>
      </c>
      <c r="N74" s="41">
        <v>0.04</v>
      </c>
      <c r="O74" s="41">
        <v>0.04</v>
      </c>
      <c r="Q74" s="8">
        <f>D74</f>
        <v>1215</v>
      </c>
      <c r="R74" s="8">
        <f>D74*G74+D74</f>
        <v>1251.45</v>
      </c>
      <c r="S74" s="8">
        <f>D74*H74</f>
        <v>36.449999999999996</v>
      </c>
      <c r="T74" s="8">
        <f>D74*I74</f>
        <v>36.449999999999996</v>
      </c>
      <c r="U74" s="8">
        <f>D74*J74</f>
        <v>36.449999999999996</v>
      </c>
      <c r="V74" s="8">
        <f>D74*K74</f>
        <v>36.449999999999996</v>
      </c>
      <c r="W74" s="8">
        <f>D74*L74</f>
        <v>48.6</v>
      </c>
      <c r="X74" s="8">
        <f>D74*M74</f>
        <v>48.6</v>
      </c>
      <c r="Y74" s="8">
        <f>D74*N74</f>
        <v>48.6</v>
      </c>
      <c r="Z74" s="8">
        <f>D74*O74</f>
        <v>48.6</v>
      </c>
      <c r="AA74" s="9">
        <f t="shared" si="31"/>
        <v>2806.6499999999987</v>
      </c>
    </row>
    <row r="75" spans="1:27" ht="15.75" thickBot="1" x14ac:dyDescent="0.3">
      <c r="A75" s="353"/>
      <c r="B75" s="334"/>
      <c r="C75" s="18" t="s">
        <v>104</v>
      </c>
      <c r="D75" s="40">
        <v>803</v>
      </c>
      <c r="E75" s="40">
        <v>1079</v>
      </c>
      <c r="F75" s="41">
        <v>0.03</v>
      </c>
      <c r="G75" s="41">
        <v>0.03</v>
      </c>
      <c r="H75" s="41">
        <v>0.03</v>
      </c>
      <c r="I75" s="41">
        <v>0.03</v>
      </c>
      <c r="J75" s="41">
        <v>0.03</v>
      </c>
      <c r="K75" s="41">
        <v>0.03</v>
      </c>
      <c r="L75" s="41">
        <v>0.04</v>
      </c>
      <c r="M75" s="41">
        <v>0.04</v>
      </c>
      <c r="N75" s="41">
        <v>0.04</v>
      </c>
      <c r="O75" s="41">
        <v>0.04</v>
      </c>
      <c r="Q75" s="8">
        <f t="shared" ref="Q75:Q97" si="32">D75</f>
        <v>803</v>
      </c>
      <c r="R75" s="8">
        <f t="shared" ref="R75:R97" si="33">D75*G75</f>
        <v>24.09</v>
      </c>
      <c r="S75" s="8">
        <f t="shared" ref="S75:S97" si="34">D75*H75</f>
        <v>24.09</v>
      </c>
      <c r="T75" s="8">
        <f t="shared" ref="T75:T97" si="35">D75*I75</f>
        <v>24.09</v>
      </c>
      <c r="U75" s="8">
        <f t="shared" ref="U75:U97" si="36">D75*J75</f>
        <v>24.09</v>
      </c>
      <c r="V75" s="8">
        <f t="shared" ref="V75:V97" si="37">D75*K75</f>
        <v>24.09</v>
      </c>
      <c r="W75" s="8">
        <f t="shared" ref="W75:W97" si="38">D75*L75</f>
        <v>32.119999999999997</v>
      </c>
      <c r="X75" s="8">
        <f t="shared" ref="X75:X97" si="39">D75*M75</f>
        <v>32.119999999999997</v>
      </c>
      <c r="Y75" s="8">
        <f t="shared" ref="Y75:Y97" si="40">D75*N75</f>
        <v>32.119999999999997</v>
      </c>
      <c r="Z75" s="8">
        <f t="shared" ref="Z75:Z97" si="41">D75*O75</f>
        <v>32.119999999999997</v>
      </c>
      <c r="AA75" s="9">
        <f t="shared" si="31"/>
        <v>1051.93</v>
      </c>
    </row>
    <row r="76" spans="1:27" ht="15.75" thickBot="1" x14ac:dyDescent="0.3">
      <c r="A76" s="353"/>
      <c r="B76" s="334"/>
      <c r="C76" s="18" t="s">
        <v>105</v>
      </c>
      <c r="D76" s="40">
        <v>814</v>
      </c>
      <c r="E76" s="40">
        <v>1094</v>
      </c>
      <c r="F76" s="41">
        <v>0.03</v>
      </c>
      <c r="G76" s="41">
        <v>0.03</v>
      </c>
      <c r="H76" s="41">
        <v>0.03</v>
      </c>
      <c r="I76" s="41">
        <v>0.03</v>
      </c>
      <c r="J76" s="41">
        <v>0.03</v>
      </c>
      <c r="K76" s="41">
        <v>0.03</v>
      </c>
      <c r="L76" s="41">
        <v>0.04</v>
      </c>
      <c r="M76" s="41">
        <v>0.04</v>
      </c>
      <c r="N76" s="41">
        <v>0.04</v>
      </c>
      <c r="O76" s="41">
        <v>0.04</v>
      </c>
      <c r="Q76" s="8">
        <f t="shared" si="32"/>
        <v>814</v>
      </c>
      <c r="R76" s="8">
        <f t="shared" si="33"/>
        <v>24.419999999999998</v>
      </c>
      <c r="S76" s="8">
        <f t="shared" si="34"/>
        <v>24.419999999999998</v>
      </c>
      <c r="T76" s="8">
        <f t="shared" si="35"/>
        <v>24.419999999999998</v>
      </c>
      <c r="U76" s="8">
        <f t="shared" si="36"/>
        <v>24.419999999999998</v>
      </c>
      <c r="V76" s="8">
        <f t="shared" si="37"/>
        <v>24.419999999999998</v>
      </c>
      <c r="W76" s="8">
        <f t="shared" si="38"/>
        <v>32.56</v>
      </c>
      <c r="X76" s="8">
        <f t="shared" si="39"/>
        <v>32.56</v>
      </c>
      <c r="Y76" s="8">
        <f t="shared" si="40"/>
        <v>32.56</v>
      </c>
      <c r="Z76" s="8">
        <f t="shared" si="41"/>
        <v>32.56</v>
      </c>
      <c r="AA76" s="9">
        <f t="shared" si="31"/>
        <v>1066.3399999999997</v>
      </c>
    </row>
    <row r="77" spans="1:27" ht="26.25" thickBot="1" x14ac:dyDescent="0.3">
      <c r="A77" s="353"/>
      <c r="B77" s="334"/>
      <c r="C77" s="18" t="s">
        <v>106</v>
      </c>
      <c r="D77" s="40">
        <v>1180</v>
      </c>
      <c r="E77" s="40">
        <v>1586</v>
      </c>
      <c r="F77" s="41">
        <v>0.03</v>
      </c>
      <c r="G77" s="41">
        <v>0.03</v>
      </c>
      <c r="H77" s="41">
        <v>0.03</v>
      </c>
      <c r="I77" s="41">
        <v>0.03</v>
      </c>
      <c r="J77" s="41">
        <v>0.03</v>
      </c>
      <c r="K77" s="41">
        <v>0.03</v>
      </c>
      <c r="L77" s="41">
        <v>0.04</v>
      </c>
      <c r="M77" s="41">
        <v>0.04</v>
      </c>
      <c r="N77" s="41">
        <v>0.04</v>
      </c>
      <c r="O77" s="41">
        <v>0.04</v>
      </c>
      <c r="Q77" s="8">
        <f t="shared" si="32"/>
        <v>1180</v>
      </c>
      <c r="R77" s="8">
        <f t="shared" si="33"/>
        <v>35.4</v>
      </c>
      <c r="S77" s="8">
        <f t="shared" si="34"/>
        <v>35.4</v>
      </c>
      <c r="T77" s="8">
        <f t="shared" si="35"/>
        <v>35.4</v>
      </c>
      <c r="U77" s="8">
        <f t="shared" si="36"/>
        <v>35.4</v>
      </c>
      <c r="V77" s="8">
        <f t="shared" si="37"/>
        <v>35.4</v>
      </c>
      <c r="W77" s="8">
        <f t="shared" si="38"/>
        <v>47.2</v>
      </c>
      <c r="X77" s="8">
        <f t="shared" si="39"/>
        <v>47.2</v>
      </c>
      <c r="Y77" s="8">
        <f t="shared" si="40"/>
        <v>47.2</v>
      </c>
      <c r="Z77" s="8">
        <f t="shared" si="41"/>
        <v>47.2</v>
      </c>
      <c r="AA77" s="9">
        <f t="shared" si="31"/>
        <v>1545.8000000000006</v>
      </c>
    </row>
    <row r="78" spans="1:27" ht="15.75" thickBot="1" x14ac:dyDescent="0.3">
      <c r="A78" s="353"/>
      <c r="B78" s="334"/>
      <c r="C78" s="18" t="s">
        <v>107</v>
      </c>
      <c r="D78" s="40">
        <v>500</v>
      </c>
      <c r="E78" s="40">
        <v>672</v>
      </c>
      <c r="F78" s="41">
        <v>0.03</v>
      </c>
      <c r="G78" s="41">
        <v>0.03</v>
      </c>
      <c r="H78" s="41">
        <v>0.03</v>
      </c>
      <c r="I78" s="41">
        <v>0.03</v>
      </c>
      <c r="J78" s="41">
        <v>0.03</v>
      </c>
      <c r="K78" s="41">
        <v>0.03</v>
      </c>
      <c r="L78" s="41">
        <v>0.04</v>
      </c>
      <c r="M78" s="41">
        <v>0.04</v>
      </c>
      <c r="N78" s="41">
        <v>0.04</v>
      </c>
      <c r="O78" s="41">
        <v>0.04</v>
      </c>
      <c r="Q78" s="8">
        <f t="shared" si="32"/>
        <v>500</v>
      </c>
      <c r="R78" s="8">
        <f t="shared" si="33"/>
        <v>15</v>
      </c>
      <c r="S78" s="8">
        <f t="shared" si="34"/>
        <v>15</v>
      </c>
      <c r="T78" s="8">
        <f t="shared" si="35"/>
        <v>15</v>
      </c>
      <c r="U78" s="8">
        <f t="shared" si="36"/>
        <v>15</v>
      </c>
      <c r="V78" s="8">
        <f t="shared" si="37"/>
        <v>15</v>
      </c>
      <c r="W78" s="8">
        <f t="shared" si="38"/>
        <v>20</v>
      </c>
      <c r="X78" s="8">
        <f t="shared" si="39"/>
        <v>20</v>
      </c>
      <c r="Y78" s="8">
        <f t="shared" si="40"/>
        <v>20</v>
      </c>
      <c r="Z78" s="8">
        <f t="shared" si="41"/>
        <v>20</v>
      </c>
      <c r="AA78" s="9">
        <f t="shared" si="31"/>
        <v>655</v>
      </c>
    </row>
    <row r="79" spans="1:27" ht="15.75" thickBot="1" x14ac:dyDescent="0.3">
      <c r="A79" s="353"/>
      <c r="B79" s="335"/>
      <c r="C79" s="18" t="s">
        <v>108</v>
      </c>
      <c r="D79" s="40">
        <v>2635</v>
      </c>
      <c r="E79" s="40">
        <v>3541</v>
      </c>
      <c r="F79" s="41">
        <v>0.03</v>
      </c>
      <c r="G79" s="41">
        <v>0.03</v>
      </c>
      <c r="H79" s="41">
        <v>0.03</v>
      </c>
      <c r="I79" s="41">
        <v>0.03</v>
      </c>
      <c r="J79" s="41">
        <v>0.03</v>
      </c>
      <c r="K79" s="41">
        <v>0.03</v>
      </c>
      <c r="L79" s="41">
        <v>0.04</v>
      </c>
      <c r="M79" s="41">
        <v>0.04</v>
      </c>
      <c r="N79" s="41">
        <v>0.04</v>
      </c>
      <c r="O79" s="41">
        <v>0.04</v>
      </c>
      <c r="Q79" s="8">
        <f t="shared" si="32"/>
        <v>2635</v>
      </c>
      <c r="R79" s="8">
        <f t="shared" si="33"/>
        <v>79.05</v>
      </c>
      <c r="S79" s="8">
        <f t="shared" si="34"/>
        <v>79.05</v>
      </c>
      <c r="T79" s="8">
        <f t="shared" si="35"/>
        <v>79.05</v>
      </c>
      <c r="U79" s="8">
        <f t="shared" si="36"/>
        <v>79.05</v>
      </c>
      <c r="V79" s="8">
        <f t="shared" si="37"/>
        <v>79.05</v>
      </c>
      <c r="W79" s="8">
        <f t="shared" si="38"/>
        <v>105.4</v>
      </c>
      <c r="X79" s="8">
        <f t="shared" si="39"/>
        <v>105.4</v>
      </c>
      <c r="Y79" s="8">
        <f t="shared" si="40"/>
        <v>105.4</v>
      </c>
      <c r="Z79" s="8">
        <f t="shared" si="41"/>
        <v>105.4</v>
      </c>
      <c r="AA79" s="9">
        <f t="shared" si="31"/>
        <v>3451.8500000000013</v>
      </c>
    </row>
    <row r="80" spans="1:27" ht="26.25" thickBot="1" x14ac:dyDescent="0.3">
      <c r="A80" s="353"/>
      <c r="B80" s="333" t="s">
        <v>109</v>
      </c>
      <c r="C80" s="18" t="s">
        <v>110</v>
      </c>
      <c r="D80" s="40">
        <v>11306</v>
      </c>
      <c r="E80" s="40">
        <v>15194</v>
      </c>
      <c r="F80" s="41">
        <v>0.03</v>
      </c>
      <c r="G80" s="41">
        <v>0.03</v>
      </c>
      <c r="H80" s="41">
        <v>0.03</v>
      </c>
      <c r="I80" s="41">
        <v>0.03</v>
      </c>
      <c r="J80" s="41">
        <v>0.03</v>
      </c>
      <c r="K80" s="41">
        <v>0.03</v>
      </c>
      <c r="L80" s="41">
        <v>0.04</v>
      </c>
      <c r="M80" s="41">
        <v>0.04</v>
      </c>
      <c r="N80" s="41">
        <v>0.04</v>
      </c>
      <c r="O80" s="41">
        <v>0.04</v>
      </c>
      <c r="Q80" s="8">
        <f t="shared" si="32"/>
        <v>11306</v>
      </c>
      <c r="R80" s="8">
        <f t="shared" si="33"/>
        <v>339.18</v>
      </c>
      <c r="S80" s="8">
        <f t="shared" si="34"/>
        <v>339.18</v>
      </c>
      <c r="T80" s="8">
        <f t="shared" si="35"/>
        <v>339.18</v>
      </c>
      <c r="U80" s="8">
        <f t="shared" si="36"/>
        <v>339.18</v>
      </c>
      <c r="V80" s="8">
        <f t="shared" si="37"/>
        <v>339.18</v>
      </c>
      <c r="W80" s="8">
        <f t="shared" si="38"/>
        <v>452.24</v>
      </c>
      <c r="X80" s="8">
        <f t="shared" si="39"/>
        <v>452.24</v>
      </c>
      <c r="Y80" s="8">
        <f t="shared" si="40"/>
        <v>452.24</v>
      </c>
      <c r="Z80" s="8">
        <f t="shared" si="41"/>
        <v>452.24</v>
      </c>
      <c r="AA80" s="9">
        <f t="shared" si="31"/>
        <v>14810.86</v>
      </c>
    </row>
    <row r="81" spans="1:27" ht="26.25" thickBot="1" x14ac:dyDescent="0.3">
      <c r="A81" s="353"/>
      <c r="B81" s="334"/>
      <c r="C81" s="18" t="s">
        <v>111</v>
      </c>
      <c r="D81" s="40">
        <v>9078</v>
      </c>
      <c r="E81" s="40">
        <v>12234</v>
      </c>
      <c r="F81" s="41">
        <v>0.03</v>
      </c>
      <c r="G81" s="41">
        <v>0.03</v>
      </c>
      <c r="H81" s="41">
        <v>0.03</v>
      </c>
      <c r="I81" s="41">
        <v>0.03</v>
      </c>
      <c r="J81" s="41">
        <v>0.03</v>
      </c>
      <c r="K81" s="41">
        <v>0.03</v>
      </c>
      <c r="L81" s="41">
        <v>0.03</v>
      </c>
      <c r="M81" s="41">
        <v>0.04</v>
      </c>
      <c r="N81" s="41">
        <v>0.04</v>
      </c>
      <c r="O81" s="41">
        <v>0.04</v>
      </c>
      <c r="Q81" s="8">
        <f t="shared" si="32"/>
        <v>9078</v>
      </c>
      <c r="R81" s="8">
        <f t="shared" si="33"/>
        <v>272.33999999999997</v>
      </c>
      <c r="S81" s="8">
        <f t="shared" si="34"/>
        <v>272.33999999999997</v>
      </c>
      <c r="T81" s="8">
        <f t="shared" si="35"/>
        <v>272.33999999999997</v>
      </c>
      <c r="U81" s="8">
        <f t="shared" si="36"/>
        <v>272.33999999999997</v>
      </c>
      <c r="V81" s="8">
        <f t="shared" si="37"/>
        <v>272.33999999999997</v>
      </c>
      <c r="W81" s="8">
        <f t="shared" si="38"/>
        <v>272.33999999999997</v>
      </c>
      <c r="X81" s="8">
        <f t="shared" si="39"/>
        <v>363.12</v>
      </c>
      <c r="Y81" s="8">
        <f t="shared" si="40"/>
        <v>363.12</v>
      </c>
      <c r="Z81" s="8">
        <f t="shared" si="41"/>
        <v>363.12</v>
      </c>
      <c r="AA81" s="9">
        <f t="shared" si="31"/>
        <v>11801.400000000003</v>
      </c>
    </row>
    <row r="82" spans="1:27" ht="15.75" thickBot="1" x14ac:dyDescent="0.3">
      <c r="A82" s="353"/>
      <c r="B82" s="335"/>
      <c r="C82" s="18" t="s">
        <v>112</v>
      </c>
      <c r="D82" s="40">
        <v>199</v>
      </c>
      <c r="E82" s="40">
        <v>267</v>
      </c>
      <c r="F82" s="41">
        <v>0.03</v>
      </c>
      <c r="G82" s="41">
        <v>0.03</v>
      </c>
      <c r="H82" s="41">
        <v>0.03</v>
      </c>
      <c r="I82" s="41">
        <v>0.03</v>
      </c>
      <c r="J82" s="41">
        <v>0.03</v>
      </c>
      <c r="K82" s="41">
        <v>0.03</v>
      </c>
      <c r="L82" s="41">
        <v>0.04</v>
      </c>
      <c r="M82" s="41">
        <v>0.04</v>
      </c>
      <c r="N82" s="41">
        <v>0.04</v>
      </c>
      <c r="O82" s="41">
        <v>0.04</v>
      </c>
      <c r="Q82" s="8">
        <f t="shared" si="32"/>
        <v>199</v>
      </c>
      <c r="R82" s="8">
        <f t="shared" si="33"/>
        <v>5.97</v>
      </c>
      <c r="S82" s="8">
        <f t="shared" si="34"/>
        <v>5.97</v>
      </c>
      <c r="T82" s="8">
        <f t="shared" si="35"/>
        <v>5.97</v>
      </c>
      <c r="U82" s="8">
        <f t="shared" si="36"/>
        <v>5.97</v>
      </c>
      <c r="V82" s="8">
        <f t="shared" si="37"/>
        <v>5.97</v>
      </c>
      <c r="W82" s="8">
        <f t="shared" si="38"/>
        <v>7.96</v>
      </c>
      <c r="X82" s="8">
        <f t="shared" si="39"/>
        <v>7.96</v>
      </c>
      <c r="Y82" s="8">
        <f t="shared" si="40"/>
        <v>7.96</v>
      </c>
      <c r="Z82" s="8">
        <f t="shared" si="41"/>
        <v>7.96</v>
      </c>
      <c r="AA82" s="9">
        <f t="shared" si="31"/>
        <v>260.69</v>
      </c>
    </row>
    <row r="83" spans="1:27" ht="15.75" thickBot="1" x14ac:dyDescent="0.3">
      <c r="A83" s="353"/>
      <c r="B83" s="333" t="s">
        <v>113</v>
      </c>
      <c r="C83" s="18" t="s">
        <v>114</v>
      </c>
      <c r="D83" s="40">
        <v>520</v>
      </c>
      <c r="E83" s="40">
        <v>699</v>
      </c>
      <c r="F83" s="41">
        <v>0.03</v>
      </c>
      <c r="G83" s="41">
        <v>0.03</v>
      </c>
      <c r="H83" s="41">
        <v>0.03</v>
      </c>
      <c r="I83" s="41">
        <v>0.03</v>
      </c>
      <c r="J83" s="41">
        <v>0.03</v>
      </c>
      <c r="K83" s="41">
        <v>0.03</v>
      </c>
      <c r="L83" s="41">
        <v>0.04</v>
      </c>
      <c r="M83" s="41">
        <v>0.04</v>
      </c>
      <c r="N83" s="41">
        <v>0.04</v>
      </c>
      <c r="O83" s="41">
        <v>0.04</v>
      </c>
      <c r="Q83" s="8">
        <f t="shared" si="32"/>
        <v>520</v>
      </c>
      <c r="R83" s="8">
        <f t="shared" si="33"/>
        <v>15.6</v>
      </c>
      <c r="S83" s="8">
        <f t="shared" si="34"/>
        <v>15.6</v>
      </c>
      <c r="T83" s="8">
        <f t="shared" si="35"/>
        <v>15.6</v>
      </c>
      <c r="U83" s="8">
        <f t="shared" si="36"/>
        <v>15.6</v>
      </c>
      <c r="V83" s="8">
        <f t="shared" si="37"/>
        <v>15.6</v>
      </c>
      <c r="W83" s="8">
        <f t="shared" si="38"/>
        <v>20.8</v>
      </c>
      <c r="X83" s="8">
        <f t="shared" si="39"/>
        <v>20.8</v>
      </c>
      <c r="Y83" s="8">
        <f t="shared" si="40"/>
        <v>20.8</v>
      </c>
      <c r="Z83" s="8">
        <f t="shared" si="41"/>
        <v>20.8</v>
      </c>
      <c r="AA83" s="9">
        <f t="shared" si="31"/>
        <v>681.19999999999993</v>
      </c>
    </row>
    <row r="84" spans="1:27" ht="26.25" thickBot="1" x14ac:dyDescent="0.3">
      <c r="A84" s="353"/>
      <c r="B84" s="334"/>
      <c r="C84" s="18" t="s">
        <v>115</v>
      </c>
      <c r="D84" s="40">
        <v>52975</v>
      </c>
      <c r="E84" s="40">
        <v>71194</v>
      </c>
      <c r="F84" s="41">
        <v>0.03</v>
      </c>
      <c r="G84" s="41">
        <v>0.03</v>
      </c>
      <c r="H84" s="41">
        <v>0.03</v>
      </c>
      <c r="I84" s="41">
        <v>0.03</v>
      </c>
      <c r="J84" s="41">
        <v>0.03</v>
      </c>
      <c r="K84" s="41">
        <v>0.03</v>
      </c>
      <c r="L84" s="41">
        <v>0.04</v>
      </c>
      <c r="M84" s="41">
        <v>0.04</v>
      </c>
      <c r="N84" s="41">
        <v>0.04</v>
      </c>
      <c r="O84" s="41">
        <v>0.04</v>
      </c>
      <c r="Q84" s="8">
        <f t="shared" si="32"/>
        <v>52975</v>
      </c>
      <c r="R84" s="8">
        <f t="shared" si="33"/>
        <v>1589.25</v>
      </c>
      <c r="S84" s="8">
        <f t="shared" si="34"/>
        <v>1589.25</v>
      </c>
      <c r="T84" s="8">
        <f t="shared" si="35"/>
        <v>1589.25</v>
      </c>
      <c r="U84" s="8">
        <f t="shared" si="36"/>
        <v>1589.25</v>
      </c>
      <c r="V84" s="8">
        <f t="shared" si="37"/>
        <v>1589.25</v>
      </c>
      <c r="W84" s="8">
        <f t="shared" si="38"/>
        <v>2119</v>
      </c>
      <c r="X84" s="8">
        <f t="shared" si="39"/>
        <v>2119</v>
      </c>
      <c r="Y84" s="8">
        <f t="shared" si="40"/>
        <v>2119</v>
      </c>
      <c r="Z84" s="8">
        <f t="shared" si="41"/>
        <v>2119</v>
      </c>
      <c r="AA84" s="9">
        <f t="shared" si="31"/>
        <v>69397.25</v>
      </c>
    </row>
    <row r="85" spans="1:27" ht="15.75" thickBot="1" x14ac:dyDescent="0.3">
      <c r="A85" s="353"/>
      <c r="B85" s="334"/>
      <c r="C85" s="18" t="s">
        <v>116</v>
      </c>
      <c r="D85" s="40">
        <v>1509</v>
      </c>
      <c r="E85" s="40">
        <v>2028</v>
      </c>
      <c r="F85" s="41">
        <v>0.03</v>
      </c>
      <c r="G85" s="41">
        <v>0.03</v>
      </c>
      <c r="H85" s="41">
        <v>0.03</v>
      </c>
      <c r="I85" s="41">
        <v>0.03</v>
      </c>
      <c r="J85" s="41">
        <v>0.03</v>
      </c>
      <c r="K85" s="41">
        <v>0.03</v>
      </c>
      <c r="L85" s="41">
        <v>0.04</v>
      </c>
      <c r="M85" s="41">
        <v>0.04</v>
      </c>
      <c r="N85" s="41">
        <v>0.04</v>
      </c>
      <c r="O85" s="41">
        <v>0.04</v>
      </c>
      <c r="Q85" s="8">
        <f t="shared" si="32"/>
        <v>1509</v>
      </c>
      <c r="R85" s="8">
        <f t="shared" si="33"/>
        <v>45.269999999999996</v>
      </c>
      <c r="S85" s="8">
        <f t="shared" si="34"/>
        <v>45.269999999999996</v>
      </c>
      <c r="T85" s="8">
        <f t="shared" si="35"/>
        <v>45.269999999999996</v>
      </c>
      <c r="U85" s="8">
        <f t="shared" si="36"/>
        <v>45.269999999999996</v>
      </c>
      <c r="V85" s="8">
        <f t="shared" si="37"/>
        <v>45.269999999999996</v>
      </c>
      <c r="W85" s="8">
        <f t="shared" si="38"/>
        <v>60.36</v>
      </c>
      <c r="X85" s="8">
        <f t="shared" si="39"/>
        <v>60.36</v>
      </c>
      <c r="Y85" s="8">
        <f t="shared" si="40"/>
        <v>60.36</v>
      </c>
      <c r="Z85" s="8">
        <f t="shared" si="41"/>
        <v>60.36</v>
      </c>
      <c r="AA85" s="9">
        <f t="shared" si="31"/>
        <v>1976.7899999999995</v>
      </c>
    </row>
    <row r="86" spans="1:27" ht="15.75" thickBot="1" x14ac:dyDescent="0.3">
      <c r="A86" s="353"/>
      <c r="B86" s="335"/>
      <c r="C86" s="18" t="s">
        <v>117</v>
      </c>
      <c r="D86" s="40">
        <v>531</v>
      </c>
      <c r="E86" s="40">
        <v>714</v>
      </c>
      <c r="F86" s="41">
        <v>0.03</v>
      </c>
      <c r="G86" s="41">
        <v>0.03</v>
      </c>
      <c r="H86" s="41">
        <v>0.03</v>
      </c>
      <c r="I86" s="41">
        <v>0.03</v>
      </c>
      <c r="J86" s="41">
        <v>0.03</v>
      </c>
      <c r="K86" s="41">
        <v>0.03</v>
      </c>
      <c r="L86" s="41">
        <v>0.04</v>
      </c>
      <c r="M86" s="41">
        <v>0.04</v>
      </c>
      <c r="N86" s="41">
        <v>0.04</v>
      </c>
      <c r="O86" s="41">
        <v>0.04</v>
      </c>
      <c r="Q86" s="8">
        <f t="shared" si="32"/>
        <v>531</v>
      </c>
      <c r="R86" s="8">
        <f t="shared" si="33"/>
        <v>15.93</v>
      </c>
      <c r="S86" s="8">
        <f t="shared" si="34"/>
        <v>15.93</v>
      </c>
      <c r="T86" s="8">
        <f t="shared" si="35"/>
        <v>15.93</v>
      </c>
      <c r="U86" s="8">
        <f t="shared" si="36"/>
        <v>15.93</v>
      </c>
      <c r="V86" s="8">
        <f t="shared" si="37"/>
        <v>15.93</v>
      </c>
      <c r="W86" s="8">
        <f t="shared" si="38"/>
        <v>21.240000000000002</v>
      </c>
      <c r="X86" s="8">
        <f t="shared" si="39"/>
        <v>21.240000000000002</v>
      </c>
      <c r="Y86" s="8">
        <f t="shared" si="40"/>
        <v>21.240000000000002</v>
      </c>
      <c r="Z86" s="8">
        <f t="shared" si="41"/>
        <v>21.240000000000002</v>
      </c>
      <c r="AA86" s="9">
        <f t="shared" si="31"/>
        <v>695.60999999999979</v>
      </c>
    </row>
    <row r="87" spans="1:27" ht="26.25" thickBot="1" x14ac:dyDescent="0.3">
      <c r="A87" s="353"/>
      <c r="B87" s="333" t="s">
        <v>118</v>
      </c>
      <c r="C87" s="18" t="s">
        <v>119</v>
      </c>
      <c r="D87" s="40">
        <v>50</v>
      </c>
      <c r="E87" s="40">
        <v>67</v>
      </c>
      <c r="F87" s="41">
        <v>0.03</v>
      </c>
      <c r="G87" s="41">
        <v>0.03</v>
      </c>
      <c r="H87" s="41">
        <v>0.03</v>
      </c>
      <c r="I87" s="41">
        <v>0.03</v>
      </c>
      <c r="J87" s="41">
        <v>0.03</v>
      </c>
      <c r="K87" s="41">
        <v>0.03</v>
      </c>
      <c r="L87" s="41">
        <v>0.04</v>
      </c>
      <c r="M87" s="41">
        <v>0.04</v>
      </c>
      <c r="N87" s="41">
        <v>0.04</v>
      </c>
      <c r="O87" s="41">
        <v>0.04</v>
      </c>
      <c r="Q87" s="8">
        <f t="shared" si="32"/>
        <v>50</v>
      </c>
      <c r="R87" s="8">
        <f t="shared" si="33"/>
        <v>1.5</v>
      </c>
      <c r="S87" s="8">
        <f t="shared" si="34"/>
        <v>1.5</v>
      </c>
      <c r="T87" s="8">
        <f t="shared" si="35"/>
        <v>1.5</v>
      </c>
      <c r="U87" s="8">
        <f t="shared" si="36"/>
        <v>1.5</v>
      </c>
      <c r="V87" s="8">
        <f t="shared" si="37"/>
        <v>1.5</v>
      </c>
      <c r="W87" s="8">
        <f t="shared" si="38"/>
        <v>2</v>
      </c>
      <c r="X87" s="8">
        <f t="shared" si="39"/>
        <v>2</v>
      </c>
      <c r="Y87" s="8">
        <f t="shared" si="40"/>
        <v>2</v>
      </c>
      <c r="Z87" s="8">
        <f t="shared" si="41"/>
        <v>2</v>
      </c>
      <c r="AA87" s="9">
        <f t="shared" si="31"/>
        <v>65.5</v>
      </c>
    </row>
    <row r="88" spans="1:27" ht="26.25" thickBot="1" x14ac:dyDescent="0.3">
      <c r="A88" s="353"/>
      <c r="B88" s="335"/>
      <c r="C88" s="18" t="s">
        <v>120</v>
      </c>
      <c r="D88" s="40">
        <v>10</v>
      </c>
      <c r="E88" s="40">
        <v>13</v>
      </c>
      <c r="F88" s="41">
        <v>0.03</v>
      </c>
      <c r="G88" s="41">
        <v>0.03</v>
      </c>
      <c r="H88" s="41">
        <v>0.03</v>
      </c>
      <c r="I88" s="41">
        <v>0.03</v>
      </c>
      <c r="J88" s="41">
        <v>0.03</v>
      </c>
      <c r="K88" s="41">
        <v>0.03</v>
      </c>
      <c r="L88" s="41">
        <v>0.04</v>
      </c>
      <c r="M88" s="41">
        <v>0.04</v>
      </c>
      <c r="N88" s="41">
        <v>0.04</v>
      </c>
      <c r="O88" s="41">
        <v>0.04</v>
      </c>
      <c r="Q88" s="8">
        <f t="shared" si="32"/>
        <v>10</v>
      </c>
      <c r="R88" s="8">
        <f t="shared" si="33"/>
        <v>0.3</v>
      </c>
      <c r="S88" s="8">
        <f t="shared" si="34"/>
        <v>0.3</v>
      </c>
      <c r="T88" s="8">
        <f t="shared" si="35"/>
        <v>0.3</v>
      </c>
      <c r="U88" s="8">
        <f t="shared" si="36"/>
        <v>0.3</v>
      </c>
      <c r="V88" s="8">
        <f t="shared" si="37"/>
        <v>0.3</v>
      </c>
      <c r="W88" s="8">
        <f t="shared" si="38"/>
        <v>0.4</v>
      </c>
      <c r="X88" s="8">
        <f t="shared" si="39"/>
        <v>0.4</v>
      </c>
      <c r="Y88" s="8">
        <f t="shared" si="40"/>
        <v>0.4</v>
      </c>
      <c r="Z88" s="8">
        <f t="shared" si="41"/>
        <v>0.4</v>
      </c>
      <c r="AA88" s="9">
        <f t="shared" si="31"/>
        <v>13.100000000000005</v>
      </c>
    </row>
    <row r="89" spans="1:27" ht="15.75" thickBot="1" x14ac:dyDescent="0.3">
      <c r="A89" s="353"/>
      <c r="B89" s="333" t="s">
        <v>121</v>
      </c>
      <c r="C89" s="18" t="s">
        <v>122</v>
      </c>
      <c r="D89" s="40">
        <v>150</v>
      </c>
      <c r="E89" s="40">
        <v>202</v>
      </c>
      <c r="F89" s="41">
        <v>0.03</v>
      </c>
      <c r="G89" s="41">
        <v>0.03</v>
      </c>
      <c r="H89" s="41">
        <v>0.03</v>
      </c>
      <c r="I89" s="41">
        <v>0.03</v>
      </c>
      <c r="J89" s="41">
        <v>0.03</v>
      </c>
      <c r="K89" s="41">
        <v>0.03</v>
      </c>
      <c r="L89" s="41">
        <v>0.04</v>
      </c>
      <c r="M89" s="41">
        <v>0.04</v>
      </c>
      <c r="N89" s="41">
        <v>0.04</v>
      </c>
      <c r="O89" s="41">
        <v>0.04</v>
      </c>
      <c r="Q89" s="8">
        <f t="shared" si="32"/>
        <v>150</v>
      </c>
      <c r="R89" s="8">
        <f t="shared" si="33"/>
        <v>4.5</v>
      </c>
      <c r="S89" s="8">
        <f t="shared" si="34"/>
        <v>4.5</v>
      </c>
      <c r="T89" s="8">
        <f t="shared" si="35"/>
        <v>4.5</v>
      </c>
      <c r="U89" s="8">
        <f t="shared" si="36"/>
        <v>4.5</v>
      </c>
      <c r="V89" s="8">
        <f t="shared" si="37"/>
        <v>4.5</v>
      </c>
      <c r="W89" s="8">
        <f t="shared" si="38"/>
        <v>6</v>
      </c>
      <c r="X89" s="8">
        <f t="shared" si="39"/>
        <v>6</v>
      </c>
      <c r="Y89" s="8">
        <f t="shared" si="40"/>
        <v>6</v>
      </c>
      <c r="Z89" s="8">
        <f t="shared" si="41"/>
        <v>6</v>
      </c>
      <c r="AA89" s="9">
        <f t="shared" si="31"/>
        <v>196.5</v>
      </c>
    </row>
    <row r="90" spans="1:27" ht="26.25" thickBot="1" x14ac:dyDescent="0.3">
      <c r="A90" s="353"/>
      <c r="B90" s="334"/>
      <c r="C90" s="18" t="s">
        <v>123</v>
      </c>
      <c r="D90" s="40">
        <v>3600</v>
      </c>
      <c r="E90" s="40">
        <v>4838</v>
      </c>
      <c r="F90" s="41">
        <v>0.03</v>
      </c>
      <c r="G90" s="41">
        <v>0.03</v>
      </c>
      <c r="H90" s="41">
        <v>0.03</v>
      </c>
      <c r="I90" s="41">
        <v>0.03</v>
      </c>
      <c r="J90" s="41">
        <v>0.03</v>
      </c>
      <c r="K90" s="41">
        <v>0.03</v>
      </c>
      <c r="L90" s="41">
        <v>0.04</v>
      </c>
      <c r="M90" s="41">
        <v>0.04</v>
      </c>
      <c r="N90" s="41">
        <v>0.04</v>
      </c>
      <c r="O90" s="41">
        <v>0.04</v>
      </c>
      <c r="Q90" s="8">
        <f t="shared" si="32"/>
        <v>3600</v>
      </c>
      <c r="R90" s="8">
        <f t="shared" si="33"/>
        <v>108</v>
      </c>
      <c r="S90" s="8">
        <f t="shared" si="34"/>
        <v>108</v>
      </c>
      <c r="T90" s="8">
        <f t="shared" si="35"/>
        <v>108</v>
      </c>
      <c r="U90" s="8">
        <f t="shared" si="36"/>
        <v>108</v>
      </c>
      <c r="V90" s="8">
        <f t="shared" si="37"/>
        <v>108</v>
      </c>
      <c r="W90" s="8">
        <f t="shared" si="38"/>
        <v>144</v>
      </c>
      <c r="X90" s="8">
        <f t="shared" si="39"/>
        <v>144</v>
      </c>
      <c r="Y90" s="8">
        <f t="shared" si="40"/>
        <v>144</v>
      </c>
      <c r="Z90" s="8">
        <f t="shared" si="41"/>
        <v>144</v>
      </c>
      <c r="AA90" s="9">
        <f t="shared" si="31"/>
        <v>4716</v>
      </c>
    </row>
    <row r="91" spans="1:27" ht="15.75" thickBot="1" x14ac:dyDescent="0.3">
      <c r="A91" s="353"/>
      <c r="B91" s="334"/>
      <c r="C91" s="355" t="s">
        <v>124</v>
      </c>
      <c r="D91" s="40">
        <v>200</v>
      </c>
      <c r="E91" s="40">
        <v>486</v>
      </c>
      <c r="F91" s="41">
        <v>0.05</v>
      </c>
      <c r="G91" s="41">
        <v>0.06</v>
      </c>
      <c r="H91" s="41">
        <v>0.1</v>
      </c>
      <c r="I91" s="41">
        <v>0.12</v>
      </c>
      <c r="J91" s="41">
        <v>0.14000000000000001</v>
      </c>
      <c r="K91" s="41">
        <v>0.16</v>
      </c>
      <c r="L91" s="41">
        <v>0.17</v>
      </c>
      <c r="M91" s="41">
        <v>0.18</v>
      </c>
      <c r="N91" s="41">
        <v>0.2</v>
      </c>
      <c r="O91" s="41">
        <v>0.25</v>
      </c>
      <c r="Q91" s="8">
        <f t="shared" si="32"/>
        <v>200</v>
      </c>
      <c r="R91" s="8">
        <f t="shared" si="33"/>
        <v>12</v>
      </c>
      <c r="S91" s="8">
        <f t="shared" si="34"/>
        <v>20</v>
      </c>
      <c r="T91" s="8">
        <f t="shared" si="35"/>
        <v>24</v>
      </c>
      <c r="U91" s="8">
        <f t="shared" si="36"/>
        <v>28.000000000000004</v>
      </c>
      <c r="V91" s="8">
        <f t="shared" si="37"/>
        <v>32</v>
      </c>
      <c r="W91" s="8">
        <f t="shared" si="38"/>
        <v>34</v>
      </c>
      <c r="X91" s="8">
        <f t="shared" si="39"/>
        <v>36</v>
      </c>
      <c r="Y91" s="8">
        <f t="shared" si="40"/>
        <v>40</v>
      </c>
      <c r="Z91" s="8">
        <f t="shared" si="41"/>
        <v>50</v>
      </c>
      <c r="AA91" s="9">
        <f t="shared" si="31"/>
        <v>476</v>
      </c>
    </row>
    <row r="92" spans="1:27" ht="15.75" thickBot="1" x14ac:dyDescent="0.3">
      <c r="A92" s="353"/>
      <c r="B92" s="334"/>
      <c r="C92" s="356"/>
      <c r="D92" s="40">
        <v>150</v>
      </c>
      <c r="E92" s="40">
        <v>483</v>
      </c>
      <c r="F92" s="41">
        <v>0.1</v>
      </c>
      <c r="G92" s="41">
        <v>0.15</v>
      </c>
      <c r="H92" s="41">
        <v>0.17</v>
      </c>
      <c r="I92" s="41">
        <v>0.18</v>
      </c>
      <c r="J92" s="41">
        <v>0.2</v>
      </c>
      <c r="K92" s="41">
        <v>0.22</v>
      </c>
      <c r="L92" s="41">
        <v>0.25</v>
      </c>
      <c r="M92" s="41">
        <v>0.3</v>
      </c>
      <c r="N92" s="41">
        <v>0.3</v>
      </c>
      <c r="O92" s="41">
        <v>0.35</v>
      </c>
      <c r="Q92" s="8">
        <f t="shared" si="32"/>
        <v>150</v>
      </c>
      <c r="R92" s="8">
        <f t="shared" si="33"/>
        <v>22.5</v>
      </c>
      <c r="S92" s="8">
        <f t="shared" si="34"/>
        <v>25.500000000000004</v>
      </c>
      <c r="T92" s="8">
        <f t="shared" si="35"/>
        <v>27</v>
      </c>
      <c r="U92" s="8">
        <f t="shared" si="36"/>
        <v>30</v>
      </c>
      <c r="V92" s="8">
        <f t="shared" si="37"/>
        <v>33</v>
      </c>
      <c r="W92" s="8">
        <f t="shared" si="38"/>
        <v>37.5</v>
      </c>
      <c r="X92" s="8">
        <f t="shared" si="39"/>
        <v>45</v>
      </c>
      <c r="Y92" s="8">
        <f t="shared" si="40"/>
        <v>45</v>
      </c>
      <c r="Z92" s="8">
        <f t="shared" si="41"/>
        <v>52.5</v>
      </c>
      <c r="AA92" s="9">
        <f t="shared" si="31"/>
        <v>468</v>
      </c>
    </row>
    <row r="93" spans="1:27" ht="15.75" thickBot="1" x14ac:dyDescent="0.3">
      <c r="A93" s="353"/>
      <c r="B93" s="334"/>
      <c r="C93" s="357"/>
      <c r="D93" s="40">
        <v>150</v>
      </c>
      <c r="E93" s="40">
        <v>483</v>
      </c>
      <c r="F93" s="41">
        <v>0.1</v>
      </c>
      <c r="G93" s="41">
        <v>0.15</v>
      </c>
      <c r="H93" s="41">
        <v>0.17</v>
      </c>
      <c r="I93" s="41">
        <v>0.18</v>
      </c>
      <c r="J93" s="41">
        <v>0.2</v>
      </c>
      <c r="K93" s="41">
        <v>0.22</v>
      </c>
      <c r="L93" s="41">
        <v>0.25</v>
      </c>
      <c r="M93" s="41">
        <v>0.3</v>
      </c>
      <c r="N93" s="41">
        <v>0.3</v>
      </c>
      <c r="O93" s="41">
        <v>0.35</v>
      </c>
      <c r="Q93" s="8">
        <f t="shared" si="32"/>
        <v>150</v>
      </c>
      <c r="R93" s="8">
        <f t="shared" si="33"/>
        <v>22.5</v>
      </c>
      <c r="S93" s="8">
        <f t="shared" si="34"/>
        <v>25.500000000000004</v>
      </c>
      <c r="T93" s="8">
        <f t="shared" si="35"/>
        <v>27</v>
      </c>
      <c r="U93" s="8">
        <f t="shared" si="36"/>
        <v>30</v>
      </c>
      <c r="V93" s="8">
        <f t="shared" si="37"/>
        <v>33</v>
      </c>
      <c r="W93" s="8">
        <f t="shared" si="38"/>
        <v>37.5</v>
      </c>
      <c r="X93" s="8">
        <f t="shared" si="39"/>
        <v>45</v>
      </c>
      <c r="Y93" s="8">
        <f t="shared" si="40"/>
        <v>45</v>
      </c>
      <c r="Z93" s="8">
        <f t="shared" si="41"/>
        <v>52.5</v>
      </c>
      <c r="AA93" s="9">
        <f t="shared" si="31"/>
        <v>468</v>
      </c>
    </row>
    <row r="94" spans="1:27" ht="39" thickBot="1" x14ac:dyDescent="0.3">
      <c r="A94" s="353"/>
      <c r="B94" s="334"/>
      <c r="C94" s="18" t="s">
        <v>125</v>
      </c>
      <c r="D94" s="40">
        <v>4131</v>
      </c>
      <c r="E94" s="40">
        <v>5552</v>
      </c>
      <c r="F94" s="41">
        <v>0.03</v>
      </c>
      <c r="G94" s="41">
        <v>0.03</v>
      </c>
      <c r="H94" s="41">
        <v>0.03</v>
      </c>
      <c r="I94" s="41">
        <v>0.03</v>
      </c>
      <c r="J94" s="41">
        <v>0.03</v>
      </c>
      <c r="K94" s="41">
        <v>0.03</v>
      </c>
      <c r="L94" s="41">
        <v>0.04</v>
      </c>
      <c r="M94" s="41">
        <v>0.04</v>
      </c>
      <c r="N94" s="41">
        <v>0.04</v>
      </c>
      <c r="O94" s="41">
        <v>0.04</v>
      </c>
      <c r="Q94" s="8">
        <f t="shared" si="32"/>
        <v>4131</v>
      </c>
      <c r="R94" s="8">
        <f t="shared" si="33"/>
        <v>123.92999999999999</v>
      </c>
      <c r="S94" s="8">
        <f t="shared" si="34"/>
        <v>123.92999999999999</v>
      </c>
      <c r="T94" s="8">
        <f t="shared" si="35"/>
        <v>123.92999999999999</v>
      </c>
      <c r="U94" s="8">
        <f t="shared" si="36"/>
        <v>123.92999999999999</v>
      </c>
      <c r="V94" s="8">
        <f t="shared" si="37"/>
        <v>123.92999999999999</v>
      </c>
      <c r="W94" s="8">
        <f t="shared" si="38"/>
        <v>165.24</v>
      </c>
      <c r="X94" s="8">
        <f t="shared" si="39"/>
        <v>165.24</v>
      </c>
      <c r="Y94" s="8">
        <f t="shared" si="40"/>
        <v>165.24</v>
      </c>
      <c r="Z94" s="8">
        <f t="shared" si="41"/>
        <v>165.24</v>
      </c>
      <c r="AA94" s="9">
        <f t="shared" si="31"/>
        <v>5411.6100000000006</v>
      </c>
    </row>
    <row r="95" spans="1:27" ht="26.25" thickBot="1" x14ac:dyDescent="0.3">
      <c r="A95" s="353"/>
      <c r="B95" s="334"/>
      <c r="C95" s="18" t="s">
        <v>126</v>
      </c>
      <c r="D95" s="40">
        <v>1185</v>
      </c>
      <c r="E95" s="40">
        <v>1593</v>
      </c>
      <c r="F95" s="41">
        <v>0.03</v>
      </c>
      <c r="G95" s="41">
        <v>0.03</v>
      </c>
      <c r="H95" s="41">
        <v>0.03</v>
      </c>
      <c r="I95" s="41">
        <v>0.03</v>
      </c>
      <c r="J95" s="41">
        <v>0.03</v>
      </c>
      <c r="K95" s="41">
        <v>0.03</v>
      </c>
      <c r="L95" s="41">
        <v>0.04</v>
      </c>
      <c r="M95" s="41">
        <v>0.04</v>
      </c>
      <c r="N95" s="41">
        <v>0.04</v>
      </c>
      <c r="O95" s="41">
        <v>0.04</v>
      </c>
      <c r="Q95" s="8">
        <f t="shared" si="32"/>
        <v>1185</v>
      </c>
      <c r="R95" s="8">
        <f t="shared" si="33"/>
        <v>35.549999999999997</v>
      </c>
      <c r="S95" s="8">
        <f t="shared" si="34"/>
        <v>35.549999999999997</v>
      </c>
      <c r="T95" s="8">
        <f t="shared" si="35"/>
        <v>35.549999999999997</v>
      </c>
      <c r="U95" s="8">
        <f t="shared" si="36"/>
        <v>35.549999999999997</v>
      </c>
      <c r="V95" s="8">
        <f t="shared" si="37"/>
        <v>35.549999999999997</v>
      </c>
      <c r="W95" s="8">
        <f t="shared" si="38"/>
        <v>47.4</v>
      </c>
      <c r="X95" s="8">
        <f t="shared" si="39"/>
        <v>47.4</v>
      </c>
      <c r="Y95" s="8">
        <f t="shared" si="40"/>
        <v>47.4</v>
      </c>
      <c r="Z95" s="8">
        <f t="shared" si="41"/>
        <v>47.4</v>
      </c>
      <c r="AA95" s="9">
        <f t="shared" si="31"/>
        <v>1552.3500000000001</v>
      </c>
    </row>
    <row r="96" spans="1:27" ht="39" thickBot="1" x14ac:dyDescent="0.3">
      <c r="A96" s="353"/>
      <c r="B96" s="335"/>
      <c r="C96" s="18" t="s">
        <v>127</v>
      </c>
      <c r="D96" s="40">
        <v>537</v>
      </c>
      <c r="E96" s="40">
        <v>722</v>
      </c>
      <c r="F96" s="41">
        <v>0.03</v>
      </c>
      <c r="G96" s="41">
        <v>0.03</v>
      </c>
      <c r="H96" s="41">
        <v>0.03</v>
      </c>
      <c r="I96" s="41">
        <v>0.03</v>
      </c>
      <c r="J96" s="41">
        <v>0.03</v>
      </c>
      <c r="K96" s="41">
        <v>0.03</v>
      </c>
      <c r="L96" s="41">
        <v>0.04</v>
      </c>
      <c r="M96" s="41">
        <v>0.04</v>
      </c>
      <c r="N96" s="41">
        <v>0.04</v>
      </c>
      <c r="O96" s="41">
        <v>0.04</v>
      </c>
      <c r="Q96" s="8">
        <f t="shared" si="32"/>
        <v>537</v>
      </c>
      <c r="R96" s="8">
        <f t="shared" si="33"/>
        <v>16.11</v>
      </c>
      <c r="S96" s="8">
        <f t="shared" si="34"/>
        <v>16.11</v>
      </c>
      <c r="T96" s="8">
        <f t="shared" si="35"/>
        <v>16.11</v>
      </c>
      <c r="U96" s="8">
        <f t="shared" si="36"/>
        <v>16.11</v>
      </c>
      <c r="V96" s="8">
        <f t="shared" si="37"/>
        <v>16.11</v>
      </c>
      <c r="W96" s="8">
        <f t="shared" si="38"/>
        <v>21.48</v>
      </c>
      <c r="X96" s="8">
        <f t="shared" si="39"/>
        <v>21.48</v>
      </c>
      <c r="Y96" s="8">
        <f t="shared" si="40"/>
        <v>21.48</v>
      </c>
      <c r="Z96" s="8">
        <f t="shared" si="41"/>
        <v>21.48</v>
      </c>
      <c r="AA96" s="9">
        <f t="shared" si="31"/>
        <v>703.47000000000014</v>
      </c>
    </row>
    <row r="97" spans="1:27" ht="26.25" thickBot="1" x14ac:dyDescent="0.3">
      <c r="A97" s="354"/>
      <c r="B97" s="25" t="s">
        <v>128</v>
      </c>
      <c r="C97" s="18" t="s">
        <v>129</v>
      </c>
      <c r="D97" s="40">
        <v>9113</v>
      </c>
      <c r="E97" s="40">
        <v>12247</v>
      </c>
      <c r="F97" s="41">
        <v>0.03</v>
      </c>
      <c r="G97" s="41">
        <v>0.03</v>
      </c>
      <c r="H97" s="41">
        <v>0.03</v>
      </c>
      <c r="I97" s="41">
        <v>0.03</v>
      </c>
      <c r="J97" s="41">
        <v>0.03</v>
      </c>
      <c r="K97" s="41">
        <v>0.03</v>
      </c>
      <c r="L97" s="41">
        <v>0.04</v>
      </c>
      <c r="M97" s="41">
        <v>0.04</v>
      </c>
      <c r="N97" s="41">
        <v>0.04</v>
      </c>
      <c r="O97" s="41">
        <v>0.04</v>
      </c>
      <c r="Q97" s="8">
        <f t="shared" si="32"/>
        <v>9113</v>
      </c>
      <c r="R97" s="8">
        <f t="shared" si="33"/>
        <v>273.39</v>
      </c>
      <c r="S97" s="8">
        <f t="shared" si="34"/>
        <v>273.39</v>
      </c>
      <c r="T97" s="8">
        <f t="shared" si="35"/>
        <v>273.39</v>
      </c>
      <c r="U97" s="8">
        <f t="shared" si="36"/>
        <v>273.39</v>
      </c>
      <c r="V97" s="8">
        <f t="shared" si="37"/>
        <v>273.39</v>
      </c>
      <c r="W97" s="8">
        <f t="shared" si="38"/>
        <v>364.52</v>
      </c>
      <c r="X97" s="8">
        <f t="shared" si="39"/>
        <v>364.52</v>
      </c>
      <c r="Y97" s="8">
        <f t="shared" si="40"/>
        <v>364.52</v>
      </c>
      <c r="Z97" s="8">
        <f t="shared" si="41"/>
        <v>364.52</v>
      </c>
      <c r="AA97" s="9">
        <f t="shared" si="31"/>
        <v>11938.029999999999</v>
      </c>
    </row>
    <row r="100" spans="1:27" ht="15.75" thickBot="1" x14ac:dyDescent="0.3"/>
    <row r="101" spans="1:27" ht="15.75" thickBot="1" x14ac:dyDescent="0.3">
      <c r="A101" s="368" t="s">
        <v>33</v>
      </c>
      <c r="B101" s="368" t="s">
        <v>8</v>
      </c>
      <c r="C101" s="368" t="s">
        <v>9</v>
      </c>
      <c r="D101" s="368" t="s">
        <v>10</v>
      </c>
      <c r="E101" s="368" t="s">
        <v>11</v>
      </c>
      <c r="F101" s="362" t="s">
        <v>12</v>
      </c>
      <c r="G101" s="363"/>
      <c r="H101" s="363"/>
      <c r="I101" s="363"/>
      <c r="J101" s="363"/>
      <c r="K101" s="363"/>
      <c r="L101" s="363"/>
      <c r="M101" s="363"/>
      <c r="N101" s="363"/>
      <c r="O101" s="364"/>
      <c r="Q101" s="362" t="s">
        <v>12</v>
      </c>
      <c r="R101" s="363"/>
      <c r="S101" s="363"/>
      <c r="T101" s="363"/>
      <c r="U101" s="363"/>
      <c r="V101" s="363"/>
      <c r="W101" s="363"/>
      <c r="X101" s="363"/>
      <c r="Y101" s="363"/>
      <c r="Z101" s="364"/>
    </row>
    <row r="102" spans="1:27" ht="15.75" thickBot="1" x14ac:dyDescent="0.3">
      <c r="A102" s="369"/>
      <c r="B102" s="369"/>
      <c r="C102" s="369"/>
      <c r="D102" s="369"/>
      <c r="E102" s="369"/>
      <c r="F102" s="42">
        <v>2015</v>
      </c>
      <c r="G102" s="42">
        <v>2016</v>
      </c>
      <c r="H102" s="42">
        <v>2017</v>
      </c>
      <c r="I102" s="42">
        <v>2018</v>
      </c>
      <c r="J102" s="42">
        <v>2019</v>
      </c>
      <c r="K102" s="42">
        <v>2020</v>
      </c>
      <c r="L102" s="42">
        <v>2021</v>
      </c>
      <c r="M102" s="42">
        <v>2022</v>
      </c>
      <c r="N102" s="42">
        <v>2023</v>
      </c>
      <c r="O102" s="42">
        <v>2024</v>
      </c>
      <c r="Q102" s="42">
        <v>2015</v>
      </c>
      <c r="R102" s="42">
        <v>2016</v>
      </c>
      <c r="S102" s="42">
        <v>2017</v>
      </c>
      <c r="T102" s="42">
        <v>2018</v>
      </c>
      <c r="U102" s="42">
        <v>2019</v>
      </c>
      <c r="V102" s="42">
        <v>2020</v>
      </c>
      <c r="W102" s="42">
        <v>2021</v>
      </c>
      <c r="X102" s="42">
        <v>2022</v>
      </c>
      <c r="Y102" s="42">
        <v>2023</v>
      </c>
      <c r="Z102" s="42">
        <v>2024</v>
      </c>
    </row>
    <row r="103" spans="1:27" ht="39" thickBot="1" x14ac:dyDescent="0.3">
      <c r="A103" s="365" t="s">
        <v>130</v>
      </c>
      <c r="B103" s="25" t="s">
        <v>131</v>
      </c>
      <c r="C103" s="18" t="s">
        <v>132</v>
      </c>
      <c r="D103" s="43">
        <v>0.3</v>
      </c>
      <c r="E103" s="43">
        <v>1</v>
      </c>
      <c r="F103" s="34">
        <v>7.0000000000000007E-2</v>
      </c>
      <c r="G103" s="34">
        <v>7.0000000000000007E-2</v>
      </c>
      <c r="H103" s="34">
        <v>7.0000000000000007E-2</v>
      </c>
      <c r="I103" s="34">
        <v>7.0000000000000007E-2</v>
      </c>
      <c r="J103" s="34">
        <v>7.0000000000000007E-2</v>
      </c>
      <c r="K103" s="34">
        <v>7.0000000000000007E-2</v>
      </c>
      <c r="L103" s="34">
        <v>7.0000000000000007E-2</v>
      </c>
      <c r="M103" s="34">
        <v>7.0000000000000007E-2</v>
      </c>
      <c r="N103" s="34">
        <v>7.0000000000000007E-2</v>
      </c>
      <c r="O103" s="34">
        <v>7.0000000000000007E-2</v>
      </c>
      <c r="Q103" s="8">
        <f t="shared" ref="Q103:Q132" si="42">D103</f>
        <v>0.3</v>
      </c>
      <c r="R103" s="8">
        <f t="shared" ref="R103:R132" si="43">D103*G103</f>
        <v>2.1000000000000001E-2</v>
      </c>
      <c r="S103" s="8">
        <f t="shared" ref="S103:S132" si="44">D103*H103</f>
        <v>2.1000000000000001E-2</v>
      </c>
      <c r="T103" s="8">
        <f t="shared" ref="T103:T132" si="45">D103*I103</f>
        <v>2.1000000000000001E-2</v>
      </c>
      <c r="U103" s="8">
        <f t="shared" ref="U103:U132" si="46">D103*J103</f>
        <v>2.1000000000000001E-2</v>
      </c>
      <c r="V103" s="8">
        <f t="shared" ref="V103:V132" si="47">D103*K103</f>
        <v>2.1000000000000001E-2</v>
      </c>
      <c r="W103" s="8">
        <f t="shared" ref="W103:W132" si="48">D103*L103</f>
        <v>2.1000000000000001E-2</v>
      </c>
      <c r="X103" s="8">
        <f t="shared" ref="X103:X132" si="49">D103*M103</f>
        <v>2.1000000000000001E-2</v>
      </c>
      <c r="Y103" s="8">
        <f t="shared" ref="Y103:Y132" si="50">D103*N103</f>
        <v>2.1000000000000001E-2</v>
      </c>
      <c r="Z103" s="8">
        <f t="shared" ref="Z103:Z132" si="51">D103*O103</f>
        <v>2.1000000000000001E-2</v>
      </c>
      <c r="AA103" s="9">
        <f t="shared" ref="AA103" si="52">SUM(Q103:Z103)</f>
        <v>0.48900000000000016</v>
      </c>
    </row>
    <row r="104" spans="1:27" ht="26.25" thickBot="1" x14ac:dyDescent="0.3">
      <c r="A104" s="366"/>
      <c r="B104" s="333" t="s">
        <v>133</v>
      </c>
      <c r="C104" s="18" t="s">
        <v>134</v>
      </c>
      <c r="D104" s="44">
        <v>48124</v>
      </c>
      <c r="E104" s="44">
        <v>73148</v>
      </c>
      <c r="F104" s="7">
        <v>0.02</v>
      </c>
      <c r="G104" s="7">
        <v>0.03</v>
      </c>
      <c r="H104" s="7">
        <v>0.03</v>
      </c>
      <c r="I104" s="7">
        <v>0.04</v>
      </c>
      <c r="J104" s="7">
        <v>0.04</v>
      </c>
      <c r="K104" s="7">
        <v>0.12</v>
      </c>
      <c r="L104" s="7">
        <v>0.12</v>
      </c>
      <c r="M104" s="7">
        <v>0.06</v>
      </c>
      <c r="N104" s="7">
        <v>0.03</v>
      </c>
      <c r="O104" s="7">
        <v>0.03</v>
      </c>
      <c r="Q104" s="8">
        <f t="shared" si="42"/>
        <v>48124</v>
      </c>
      <c r="R104" s="8">
        <f t="shared" si="43"/>
        <v>1443.72</v>
      </c>
      <c r="S104" s="8">
        <f t="shared" si="44"/>
        <v>1443.72</v>
      </c>
      <c r="T104" s="8">
        <f t="shared" si="45"/>
        <v>1924.96</v>
      </c>
      <c r="U104" s="8">
        <f t="shared" si="46"/>
        <v>1924.96</v>
      </c>
      <c r="V104" s="8">
        <f t="shared" si="47"/>
        <v>5774.88</v>
      </c>
      <c r="W104" s="8">
        <f t="shared" si="48"/>
        <v>5774.88</v>
      </c>
      <c r="X104" s="8">
        <f t="shared" si="49"/>
        <v>2887.44</v>
      </c>
      <c r="Y104" s="8">
        <f t="shared" si="50"/>
        <v>1443.72</v>
      </c>
      <c r="Z104" s="8">
        <f t="shared" si="51"/>
        <v>1443.72</v>
      </c>
      <c r="AA104" s="9">
        <f t="shared" ref="AA104:AA132" si="53">SUM(Q104:Z104)</f>
        <v>72186</v>
      </c>
    </row>
    <row r="105" spans="1:27" ht="26.25" thickBot="1" x14ac:dyDescent="0.3">
      <c r="A105" s="366"/>
      <c r="B105" s="334"/>
      <c r="C105" s="18" t="s">
        <v>135</v>
      </c>
      <c r="D105" s="44">
        <v>32909</v>
      </c>
      <c r="E105" s="44">
        <v>47093</v>
      </c>
      <c r="F105" s="7">
        <v>0.05</v>
      </c>
      <c r="G105" s="7">
        <v>0.04</v>
      </c>
      <c r="H105" s="7">
        <v>0.04</v>
      </c>
      <c r="I105" s="7">
        <v>0.05</v>
      </c>
      <c r="J105" s="7">
        <v>0.06</v>
      </c>
      <c r="K105" s="7">
        <v>0.05</v>
      </c>
      <c r="L105" s="7">
        <v>0.04</v>
      </c>
      <c r="M105" s="7">
        <v>0.03</v>
      </c>
      <c r="N105" s="7">
        <v>0.03</v>
      </c>
      <c r="O105" s="7">
        <v>0.03</v>
      </c>
      <c r="Q105" s="8">
        <f t="shared" si="42"/>
        <v>32909</v>
      </c>
      <c r="R105" s="8">
        <f t="shared" si="43"/>
        <v>1316.3600000000001</v>
      </c>
      <c r="S105" s="8">
        <f t="shared" si="44"/>
        <v>1316.3600000000001</v>
      </c>
      <c r="T105" s="8">
        <f t="shared" si="45"/>
        <v>1645.45</v>
      </c>
      <c r="U105" s="8">
        <f t="shared" si="46"/>
        <v>1974.54</v>
      </c>
      <c r="V105" s="8">
        <f t="shared" si="47"/>
        <v>1645.45</v>
      </c>
      <c r="W105" s="8">
        <f t="shared" si="48"/>
        <v>1316.3600000000001</v>
      </c>
      <c r="X105" s="8">
        <f t="shared" si="49"/>
        <v>987.27</v>
      </c>
      <c r="Y105" s="8">
        <f t="shared" si="50"/>
        <v>987.27</v>
      </c>
      <c r="Z105" s="8">
        <f t="shared" si="51"/>
        <v>987.27</v>
      </c>
      <c r="AA105" s="9">
        <f t="shared" si="53"/>
        <v>45085.329999999987</v>
      </c>
    </row>
    <row r="106" spans="1:27" ht="26.25" thickBot="1" x14ac:dyDescent="0.3">
      <c r="A106" s="366"/>
      <c r="B106" s="334"/>
      <c r="C106" s="18" t="s">
        <v>136</v>
      </c>
      <c r="D106" s="44">
        <v>42349</v>
      </c>
      <c r="E106" s="44">
        <v>50522</v>
      </c>
      <c r="F106" s="7">
        <v>0.02</v>
      </c>
      <c r="G106" s="7">
        <v>0.02</v>
      </c>
      <c r="H106" s="7">
        <v>0.02</v>
      </c>
      <c r="I106" s="7">
        <v>0.02</v>
      </c>
      <c r="J106" s="7">
        <v>0.02</v>
      </c>
      <c r="K106" s="7">
        <v>0.02</v>
      </c>
      <c r="L106" s="7">
        <v>0.02</v>
      </c>
      <c r="M106" s="7">
        <v>0.02</v>
      </c>
      <c r="N106" s="7">
        <v>0.02</v>
      </c>
      <c r="O106" s="7">
        <v>0.02</v>
      </c>
      <c r="Q106" s="8">
        <f t="shared" si="42"/>
        <v>42349</v>
      </c>
      <c r="R106" s="8">
        <f t="shared" si="43"/>
        <v>846.98</v>
      </c>
      <c r="S106" s="8">
        <f t="shared" si="44"/>
        <v>846.98</v>
      </c>
      <c r="T106" s="8">
        <f t="shared" si="45"/>
        <v>846.98</v>
      </c>
      <c r="U106" s="8">
        <f t="shared" si="46"/>
        <v>846.98</v>
      </c>
      <c r="V106" s="8">
        <f t="shared" si="47"/>
        <v>846.98</v>
      </c>
      <c r="W106" s="8">
        <f t="shared" si="48"/>
        <v>846.98</v>
      </c>
      <c r="X106" s="8">
        <f t="shared" si="49"/>
        <v>846.98</v>
      </c>
      <c r="Y106" s="8">
        <f t="shared" si="50"/>
        <v>846.98</v>
      </c>
      <c r="Z106" s="8">
        <f t="shared" si="51"/>
        <v>846.98</v>
      </c>
      <c r="AA106" s="9">
        <f t="shared" si="53"/>
        <v>49971.820000000029</v>
      </c>
    </row>
    <row r="107" spans="1:27" ht="26.25" thickBot="1" x14ac:dyDescent="0.3">
      <c r="A107" s="366"/>
      <c r="B107" s="334"/>
      <c r="C107" s="18" t="s">
        <v>137</v>
      </c>
      <c r="D107" s="44">
        <v>28874</v>
      </c>
      <c r="E107" s="44">
        <v>48220</v>
      </c>
      <c r="F107" s="7">
        <v>0.08</v>
      </c>
      <c r="G107" s="7">
        <v>0.08</v>
      </c>
      <c r="H107" s="7">
        <v>7.0000000000000007E-2</v>
      </c>
      <c r="I107" s="7">
        <v>7.0000000000000007E-2</v>
      </c>
      <c r="J107" s="7">
        <v>7.0000000000000007E-2</v>
      </c>
      <c r="K107" s="7">
        <v>0.06</v>
      </c>
      <c r="L107" s="7">
        <v>0.06</v>
      </c>
      <c r="M107" s="7">
        <v>0.06</v>
      </c>
      <c r="N107" s="7">
        <v>0.06</v>
      </c>
      <c r="O107" s="7">
        <v>0.06</v>
      </c>
      <c r="Q107" s="8">
        <f t="shared" si="42"/>
        <v>28874</v>
      </c>
      <c r="R107" s="8">
        <f t="shared" si="43"/>
        <v>2309.92</v>
      </c>
      <c r="S107" s="8">
        <f t="shared" si="44"/>
        <v>2021.1800000000003</v>
      </c>
      <c r="T107" s="8">
        <f t="shared" si="45"/>
        <v>2021.1800000000003</v>
      </c>
      <c r="U107" s="8">
        <f t="shared" si="46"/>
        <v>2021.1800000000003</v>
      </c>
      <c r="V107" s="8">
        <f t="shared" si="47"/>
        <v>1732.4399999999998</v>
      </c>
      <c r="W107" s="8">
        <f t="shared" si="48"/>
        <v>1732.4399999999998</v>
      </c>
      <c r="X107" s="8">
        <f t="shared" si="49"/>
        <v>1732.4399999999998</v>
      </c>
      <c r="Y107" s="8">
        <f t="shared" si="50"/>
        <v>1732.4399999999998</v>
      </c>
      <c r="Z107" s="8">
        <f t="shared" si="51"/>
        <v>1732.4399999999998</v>
      </c>
      <c r="AA107" s="9">
        <f t="shared" si="53"/>
        <v>45909.660000000011</v>
      </c>
    </row>
    <row r="108" spans="1:27" ht="26.25" thickBot="1" x14ac:dyDescent="0.3">
      <c r="A108" s="366"/>
      <c r="B108" s="334"/>
      <c r="C108" s="24" t="s">
        <v>138</v>
      </c>
      <c r="D108" s="45">
        <v>55000</v>
      </c>
      <c r="E108" s="45">
        <v>85140</v>
      </c>
      <c r="F108" s="46">
        <v>0.05</v>
      </c>
      <c r="G108" s="46">
        <v>0.06</v>
      </c>
      <c r="H108" s="46">
        <v>0.06</v>
      </c>
      <c r="I108" s="46">
        <v>7.0000000000000007E-2</v>
      </c>
      <c r="J108" s="46">
        <v>0.08</v>
      </c>
      <c r="K108" s="46">
        <v>7.0000000000000007E-2</v>
      </c>
      <c r="L108" s="46">
        <v>0.04</v>
      </c>
      <c r="M108" s="46">
        <v>0.04</v>
      </c>
      <c r="N108" s="46">
        <v>0.04</v>
      </c>
      <c r="O108" s="46">
        <v>0.04</v>
      </c>
      <c r="Q108" s="8">
        <f t="shared" si="42"/>
        <v>55000</v>
      </c>
      <c r="R108" s="8">
        <f t="shared" si="43"/>
        <v>3300</v>
      </c>
      <c r="S108" s="8">
        <f t="shared" si="44"/>
        <v>3300</v>
      </c>
      <c r="T108" s="8">
        <f t="shared" si="45"/>
        <v>3850.0000000000005</v>
      </c>
      <c r="U108" s="8">
        <f t="shared" si="46"/>
        <v>4400</v>
      </c>
      <c r="V108" s="8">
        <f t="shared" si="47"/>
        <v>3850.0000000000005</v>
      </c>
      <c r="W108" s="8">
        <f t="shared" si="48"/>
        <v>2200</v>
      </c>
      <c r="X108" s="8">
        <f t="shared" si="49"/>
        <v>2200</v>
      </c>
      <c r="Y108" s="8">
        <f t="shared" si="50"/>
        <v>2200</v>
      </c>
      <c r="Z108" s="8">
        <f t="shared" si="51"/>
        <v>2200</v>
      </c>
      <c r="AA108" s="9">
        <f t="shared" si="53"/>
        <v>82500</v>
      </c>
    </row>
    <row r="109" spans="1:27" ht="15.75" thickBot="1" x14ac:dyDescent="0.3">
      <c r="A109" s="366"/>
      <c r="B109" s="334"/>
      <c r="C109" s="18" t="s">
        <v>139</v>
      </c>
      <c r="D109" s="40">
        <v>100</v>
      </c>
      <c r="E109" s="40">
        <v>130</v>
      </c>
      <c r="F109" s="7">
        <v>0.03</v>
      </c>
      <c r="G109" s="7">
        <v>0.03</v>
      </c>
      <c r="H109" s="7">
        <v>0.03</v>
      </c>
      <c r="I109" s="7">
        <v>0.03</v>
      </c>
      <c r="J109" s="7">
        <v>0.04</v>
      </c>
      <c r="K109" s="7">
        <v>0.04</v>
      </c>
      <c r="L109" s="7">
        <v>0.03</v>
      </c>
      <c r="M109" s="7">
        <v>0.03</v>
      </c>
      <c r="N109" s="7">
        <v>0.03</v>
      </c>
      <c r="O109" s="7">
        <v>0.02</v>
      </c>
      <c r="Q109" s="8">
        <f t="shared" si="42"/>
        <v>100</v>
      </c>
      <c r="R109" s="8">
        <f t="shared" si="43"/>
        <v>3</v>
      </c>
      <c r="S109" s="8">
        <f t="shared" si="44"/>
        <v>3</v>
      </c>
      <c r="T109" s="8">
        <f t="shared" si="45"/>
        <v>3</v>
      </c>
      <c r="U109" s="8">
        <f t="shared" si="46"/>
        <v>4</v>
      </c>
      <c r="V109" s="8">
        <f t="shared" si="47"/>
        <v>4</v>
      </c>
      <c r="W109" s="8">
        <f t="shared" si="48"/>
        <v>3</v>
      </c>
      <c r="X109" s="8">
        <f t="shared" si="49"/>
        <v>3</v>
      </c>
      <c r="Y109" s="8">
        <f t="shared" si="50"/>
        <v>3</v>
      </c>
      <c r="Z109" s="8">
        <f t="shared" si="51"/>
        <v>2</v>
      </c>
      <c r="AA109" s="9">
        <f t="shared" si="53"/>
        <v>128</v>
      </c>
    </row>
    <row r="110" spans="1:27" ht="15.75" thickBot="1" x14ac:dyDescent="0.3">
      <c r="A110" s="366"/>
      <c r="B110" s="334"/>
      <c r="C110" s="18" t="s">
        <v>140</v>
      </c>
      <c r="D110" s="44">
        <v>1273</v>
      </c>
      <c r="E110" s="44">
        <v>1832</v>
      </c>
      <c r="F110" s="7">
        <v>0.05</v>
      </c>
      <c r="G110" s="7">
        <v>0.04</v>
      </c>
      <c r="H110" s="7">
        <v>0.04</v>
      </c>
      <c r="I110" s="7">
        <v>0.05</v>
      </c>
      <c r="J110" s="7">
        <v>0.05</v>
      </c>
      <c r="K110" s="7">
        <v>0.05</v>
      </c>
      <c r="L110" s="7">
        <v>0.05</v>
      </c>
      <c r="M110" s="7">
        <v>0.04</v>
      </c>
      <c r="N110" s="7">
        <v>0.04</v>
      </c>
      <c r="O110" s="7">
        <v>0.03</v>
      </c>
      <c r="Q110" s="8">
        <f t="shared" si="42"/>
        <v>1273</v>
      </c>
      <c r="R110" s="8">
        <f t="shared" si="43"/>
        <v>50.92</v>
      </c>
      <c r="S110" s="8">
        <f t="shared" si="44"/>
        <v>50.92</v>
      </c>
      <c r="T110" s="8">
        <f t="shared" si="45"/>
        <v>63.650000000000006</v>
      </c>
      <c r="U110" s="8">
        <f t="shared" si="46"/>
        <v>63.650000000000006</v>
      </c>
      <c r="V110" s="8">
        <f t="shared" si="47"/>
        <v>63.650000000000006</v>
      </c>
      <c r="W110" s="8">
        <f t="shared" si="48"/>
        <v>63.650000000000006</v>
      </c>
      <c r="X110" s="8">
        <f t="shared" si="49"/>
        <v>50.92</v>
      </c>
      <c r="Y110" s="8">
        <f t="shared" si="50"/>
        <v>50.92</v>
      </c>
      <c r="Z110" s="8">
        <f t="shared" si="51"/>
        <v>38.19</v>
      </c>
      <c r="AA110" s="9">
        <f t="shared" si="53"/>
        <v>1769.4700000000007</v>
      </c>
    </row>
    <row r="111" spans="1:27" ht="15.75" thickBot="1" x14ac:dyDescent="0.3">
      <c r="A111" s="366"/>
      <c r="B111" s="334"/>
      <c r="C111" s="18" t="s">
        <v>141</v>
      </c>
      <c r="D111" s="40">
        <v>60</v>
      </c>
      <c r="E111" s="40">
        <v>80</v>
      </c>
      <c r="F111" s="7">
        <v>0.03</v>
      </c>
      <c r="G111" s="7">
        <v>0.04</v>
      </c>
      <c r="H111" s="7">
        <v>0.04</v>
      </c>
      <c r="I111" s="7">
        <v>0.04</v>
      </c>
      <c r="J111" s="7">
        <v>0.04</v>
      </c>
      <c r="K111" s="7">
        <v>0.03</v>
      </c>
      <c r="L111" s="7">
        <v>0.03</v>
      </c>
      <c r="M111" s="7">
        <v>0.03</v>
      </c>
      <c r="N111" s="7">
        <v>0.03</v>
      </c>
      <c r="O111" s="7">
        <v>0.03</v>
      </c>
      <c r="Q111" s="8">
        <f t="shared" si="42"/>
        <v>60</v>
      </c>
      <c r="R111" s="8">
        <f t="shared" si="43"/>
        <v>2.4</v>
      </c>
      <c r="S111" s="8">
        <f t="shared" si="44"/>
        <v>2.4</v>
      </c>
      <c r="T111" s="8">
        <f t="shared" si="45"/>
        <v>2.4</v>
      </c>
      <c r="U111" s="8">
        <f t="shared" si="46"/>
        <v>2.4</v>
      </c>
      <c r="V111" s="8">
        <f t="shared" si="47"/>
        <v>1.7999999999999998</v>
      </c>
      <c r="W111" s="8">
        <f t="shared" si="48"/>
        <v>1.7999999999999998</v>
      </c>
      <c r="X111" s="8">
        <f t="shared" si="49"/>
        <v>1.7999999999999998</v>
      </c>
      <c r="Y111" s="8">
        <f t="shared" si="50"/>
        <v>1.7999999999999998</v>
      </c>
      <c r="Z111" s="8">
        <f t="shared" si="51"/>
        <v>1.7999999999999998</v>
      </c>
      <c r="AA111" s="9">
        <f t="shared" si="53"/>
        <v>78.599999999999994</v>
      </c>
    </row>
    <row r="112" spans="1:27" ht="15.75" thickBot="1" x14ac:dyDescent="0.3">
      <c r="A112" s="366"/>
      <c r="B112" s="334"/>
      <c r="C112" s="18" t="s">
        <v>142</v>
      </c>
      <c r="D112" s="40">
        <v>206</v>
      </c>
      <c r="E112" s="40">
        <v>448</v>
      </c>
      <c r="F112" s="7">
        <v>0.12</v>
      </c>
      <c r="G112" s="7">
        <v>0.11</v>
      </c>
      <c r="H112" s="7">
        <v>0.11</v>
      </c>
      <c r="I112" s="7">
        <v>0.13</v>
      </c>
      <c r="J112" s="7">
        <v>0.12</v>
      </c>
      <c r="K112" s="7">
        <v>0.12</v>
      </c>
      <c r="L112" s="7">
        <v>0.13</v>
      </c>
      <c r="M112" s="7">
        <v>0.12</v>
      </c>
      <c r="N112" s="7">
        <v>0.11</v>
      </c>
      <c r="O112" s="7">
        <v>0.11</v>
      </c>
      <c r="Q112" s="8">
        <f t="shared" si="42"/>
        <v>206</v>
      </c>
      <c r="R112" s="8">
        <f t="shared" si="43"/>
        <v>22.66</v>
      </c>
      <c r="S112" s="8">
        <f t="shared" si="44"/>
        <v>22.66</v>
      </c>
      <c r="T112" s="8">
        <f t="shared" si="45"/>
        <v>26.78</v>
      </c>
      <c r="U112" s="8">
        <f t="shared" si="46"/>
        <v>24.72</v>
      </c>
      <c r="V112" s="8">
        <f t="shared" si="47"/>
        <v>24.72</v>
      </c>
      <c r="W112" s="8">
        <f t="shared" si="48"/>
        <v>26.78</v>
      </c>
      <c r="X112" s="8">
        <f t="shared" si="49"/>
        <v>24.72</v>
      </c>
      <c r="Y112" s="8">
        <f t="shared" si="50"/>
        <v>22.66</v>
      </c>
      <c r="Z112" s="8">
        <f t="shared" si="51"/>
        <v>22.66</v>
      </c>
      <c r="AA112" s="9">
        <f t="shared" si="53"/>
        <v>424.36000000000013</v>
      </c>
    </row>
    <row r="113" spans="1:27" ht="15.75" thickBot="1" x14ac:dyDescent="0.3">
      <c r="A113" s="366"/>
      <c r="B113" s="334"/>
      <c r="C113" s="18" t="s">
        <v>143</v>
      </c>
      <c r="D113" s="40">
        <v>320</v>
      </c>
      <c r="E113" s="40">
        <v>948</v>
      </c>
      <c r="F113" s="7">
        <v>0.22</v>
      </c>
      <c r="G113" s="7">
        <v>0.17</v>
      </c>
      <c r="H113" s="7">
        <v>0.16</v>
      </c>
      <c r="I113" s="7">
        <v>0.15</v>
      </c>
      <c r="J113" s="7">
        <v>0.15</v>
      </c>
      <c r="K113" s="7">
        <v>0.19</v>
      </c>
      <c r="L113" s="7">
        <v>0.2</v>
      </c>
      <c r="M113" s="7">
        <v>0.22</v>
      </c>
      <c r="N113" s="7">
        <v>0.24</v>
      </c>
      <c r="O113" s="7">
        <v>0.26</v>
      </c>
      <c r="Q113" s="8">
        <f t="shared" si="42"/>
        <v>320</v>
      </c>
      <c r="R113" s="8">
        <f t="shared" si="43"/>
        <v>54.400000000000006</v>
      </c>
      <c r="S113" s="8">
        <f t="shared" si="44"/>
        <v>51.2</v>
      </c>
      <c r="T113" s="8">
        <f t="shared" si="45"/>
        <v>48</v>
      </c>
      <c r="U113" s="8">
        <f t="shared" si="46"/>
        <v>48</v>
      </c>
      <c r="V113" s="8">
        <f t="shared" si="47"/>
        <v>60.8</v>
      </c>
      <c r="W113" s="8">
        <f t="shared" si="48"/>
        <v>64</v>
      </c>
      <c r="X113" s="8">
        <f t="shared" si="49"/>
        <v>70.400000000000006</v>
      </c>
      <c r="Y113" s="8">
        <f t="shared" si="50"/>
        <v>76.8</v>
      </c>
      <c r="Z113" s="8">
        <f t="shared" si="51"/>
        <v>83.2</v>
      </c>
      <c r="AA113" s="9">
        <f t="shared" si="53"/>
        <v>876.79999999999984</v>
      </c>
    </row>
    <row r="114" spans="1:27" ht="15.75" thickBot="1" x14ac:dyDescent="0.3">
      <c r="A114" s="366"/>
      <c r="B114" s="334"/>
      <c r="C114" s="18" t="s">
        <v>144</v>
      </c>
      <c r="D114" s="40">
        <v>9</v>
      </c>
      <c r="E114" s="40">
        <v>129</v>
      </c>
      <c r="F114" s="7">
        <v>1.22</v>
      </c>
      <c r="G114" s="7">
        <v>1</v>
      </c>
      <c r="H114" s="7">
        <v>0.9</v>
      </c>
      <c r="I114" s="7">
        <v>2.5</v>
      </c>
      <c r="J114" s="7">
        <v>2.2999999999999998</v>
      </c>
      <c r="K114" s="7">
        <v>2</v>
      </c>
      <c r="L114" s="7">
        <v>1.7</v>
      </c>
      <c r="M114" s="7">
        <v>1.5</v>
      </c>
      <c r="N114" s="7">
        <v>0.11</v>
      </c>
      <c r="O114" s="7">
        <v>0.1</v>
      </c>
      <c r="Q114" s="8">
        <f t="shared" si="42"/>
        <v>9</v>
      </c>
      <c r="R114" s="8">
        <f t="shared" si="43"/>
        <v>9</v>
      </c>
      <c r="S114" s="8">
        <f t="shared" si="44"/>
        <v>8.1</v>
      </c>
      <c r="T114" s="8">
        <f t="shared" si="45"/>
        <v>22.5</v>
      </c>
      <c r="U114" s="8">
        <f t="shared" si="46"/>
        <v>20.7</v>
      </c>
      <c r="V114" s="8">
        <f t="shared" si="47"/>
        <v>18</v>
      </c>
      <c r="W114" s="8">
        <f t="shared" si="48"/>
        <v>15.299999999999999</v>
      </c>
      <c r="X114" s="8">
        <f t="shared" si="49"/>
        <v>13.5</v>
      </c>
      <c r="Y114" s="8">
        <f t="shared" si="50"/>
        <v>0.99</v>
      </c>
      <c r="Z114" s="8">
        <f t="shared" si="51"/>
        <v>0.9</v>
      </c>
      <c r="AA114" s="9">
        <f t="shared" si="53"/>
        <v>117.99</v>
      </c>
    </row>
    <row r="115" spans="1:27" ht="15.75" thickBot="1" x14ac:dyDescent="0.3">
      <c r="A115" s="366"/>
      <c r="B115" s="334"/>
      <c r="C115" s="47" t="s">
        <v>145</v>
      </c>
      <c r="D115" s="48">
        <v>1120</v>
      </c>
      <c r="E115" s="48">
        <v>3920</v>
      </c>
      <c r="F115" s="7">
        <v>0.3</v>
      </c>
      <c r="G115" s="7">
        <v>0.25</v>
      </c>
      <c r="H115" s="7">
        <v>0.2</v>
      </c>
      <c r="I115" s="7">
        <v>0.18</v>
      </c>
      <c r="J115" s="7">
        <v>0.2</v>
      </c>
      <c r="K115" s="7">
        <v>0.22</v>
      </c>
      <c r="L115" s="7">
        <v>0.24</v>
      </c>
      <c r="M115" s="7">
        <v>0.26</v>
      </c>
      <c r="N115" s="7">
        <v>0.3</v>
      </c>
      <c r="O115" s="7">
        <v>0.35</v>
      </c>
      <c r="Q115" s="8">
        <f t="shared" si="42"/>
        <v>1120</v>
      </c>
      <c r="R115" s="8">
        <f t="shared" si="43"/>
        <v>280</v>
      </c>
      <c r="S115" s="8">
        <f t="shared" si="44"/>
        <v>224</v>
      </c>
      <c r="T115" s="8">
        <f t="shared" si="45"/>
        <v>201.6</v>
      </c>
      <c r="U115" s="8">
        <f t="shared" si="46"/>
        <v>224</v>
      </c>
      <c r="V115" s="8">
        <f t="shared" si="47"/>
        <v>246.4</v>
      </c>
      <c r="W115" s="8">
        <f t="shared" si="48"/>
        <v>268.8</v>
      </c>
      <c r="X115" s="8">
        <f t="shared" si="49"/>
        <v>291.2</v>
      </c>
      <c r="Y115" s="8">
        <f t="shared" si="50"/>
        <v>336</v>
      </c>
      <c r="Z115" s="8">
        <f t="shared" si="51"/>
        <v>392</v>
      </c>
      <c r="AA115" s="9">
        <f t="shared" si="53"/>
        <v>3584</v>
      </c>
    </row>
    <row r="116" spans="1:27" ht="15.75" thickBot="1" x14ac:dyDescent="0.3">
      <c r="A116" s="366"/>
      <c r="B116" s="334"/>
      <c r="C116" s="18" t="s">
        <v>146</v>
      </c>
      <c r="D116" s="48">
        <v>184</v>
      </c>
      <c r="E116" s="48">
        <v>317</v>
      </c>
      <c r="F116" s="7">
        <v>0.08</v>
      </c>
      <c r="G116" s="7">
        <v>7.0000000000000007E-2</v>
      </c>
      <c r="H116" s="7">
        <v>7.0000000000000007E-2</v>
      </c>
      <c r="I116" s="7">
        <v>7.0000000000000007E-2</v>
      </c>
      <c r="J116" s="7">
        <v>0.06</v>
      </c>
      <c r="K116" s="7">
        <v>0.06</v>
      </c>
      <c r="L116" s="7">
        <v>7.0000000000000007E-2</v>
      </c>
      <c r="M116" s="7">
        <v>7.0000000000000007E-2</v>
      </c>
      <c r="N116" s="7">
        <v>0.08</v>
      </c>
      <c r="O116" s="7">
        <v>0.1</v>
      </c>
      <c r="Q116" s="8">
        <f t="shared" si="42"/>
        <v>184</v>
      </c>
      <c r="R116" s="8">
        <f t="shared" si="43"/>
        <v>12.88</v>
      </c>
      <c r="S116" s="8">
        <f t="shared" si="44"/>
        <v>12.88</v>
      </c>
      <c r="T116" s="8">
        <f t="shared" si="45"/>
        <v>12.88</v>
      </c>
      <c r="U116" s="8">
        <f t="shared" si="46"/>
        <v>11.04</v>
      </c>
      <c r="V116" s="8">
        <f t="shared" si="47"/>
        <v>11.04</v>
      </c>
      <c r="W116" s="8">
        <f t="shared" si="48"/>
        <v>12.88</v>
      </c>
      <c r="X116" s="8">
        <f t="shared" si="49"/>
        <v>12.88</v>
      </c>
      <c r="Y116" s="8">
        <f t="shared" si="50"/>
        <v>14.72</v>
      </c>
      <c r="Z116" s="8">
        <f t="shared" si="51"/>
        <v>18.400000000000002</v>
      </c>
      <c r="AA116" s="9">
        <f t="shared" si="53"/>
        <v>303.59999999999997</v>
      </c>
    </row>
    <row r="117" spans="1:27" ht="26.25" thickBot="1" x14ac:dyDescent="0.3">
      <c r="A117" s="366"/>
      <c r="B117" s="334"/>
      <c r="C117" s="18" t="s">
        <v>147</v>
      </c>
      <c r="D117" s="40">
        <v>3</v>
      </c>
      <c r="E117" s="40" t="s">
        <v>148</v>
      </c>
      <c r="F117" s="7">
        <v>1</v>
      </c>
      <c r="G117" s="7">
        <v>0</v>
      </c>
      <c r="H117" s="7">
        <v>0</v>
      </c>
      <c r="I117" s="7">
        <v>0</v>
      </c>
      <c r="J117" s="7">
        <v>0</v>
      </c>
      <c r="K117" s="7">
        <v>0</v>
      </c>
      <c r="L117" s="7">
        <v>0</v>
      </c>
      <c r="M117" s="7">
        <v>0</v>
      </c>
      <c r="N117" s="7">
        <v>0</v>
      </c>
      <c r="O117" s="7">
        <v>0</v>
      </c>
      <c r="Q117" s="8">
        <f t="shared" si="42"/>
        <v>3</v>
      </c>
      <c r="R117" s="8">
        <f t="shared" si="43"/>
        <v>0</v>
      </c>
      <c r="S117" s="8">
        <f t="shared" si="44"/>
        <v>0</v>
      </c>
      <c r="T117" s="8">
        <f t="shared" si="45"/>
        <v>0</v>
      </c>
      <c r="U117" s="8">
        <f t="shared" si="46"/>
        <v>0</v>
      </c>
      <c r="V117" s="8">
        <f t="shared" si="47"/>
        <v>0</v>
      </c>
      <c r="W117" s="8">
        <f t="shared" si="48"/>
        <v>0</v>
      </c>
      <c r="X117" s="8">
        <f t="shared" si="49"/>
        <v>0</v>
      </c>
      <c r="Y117" s="8">
        <f t="shared" si="50"/>
        <v>0</v>
      </c>
      <c r="Z117" s="8">
        <f t="shared" si="51"/>
        <v>0</v>
      </c>
      <c r="AA117" s="9">
        <f t="shared" si="53"/>
        <v>3</v>
      </c>
    </row>
    <row r="118" spans="1:27" ht="15.75" thickBot="1" x14ac:dyDescent="0.3">
      <c r="A118" s="366"/>
      <c r="B118" s="334"/>
      <c r="C118" s="18" t="s">
        <v>149</v>
      </c>
      <c r="D118" s="40">
        <v>117</v>
      </c>
      <c r="E118" s="40">
        <v>127</v>
      </c>
      <c r="F118" s="7">
        <v>0.01</v>
      </c>
      <c r="G118" s="7">
        <v>0.01</v>
      </c>
      <c r="H118" s="7">
        <v>0.01</v>
      </c>
      <c r="I118" s="7">
        <v>0.01</v>
      </c>
      <c r="J118" s="7">
        <v>0.01</v>
      </c>
      <c r="K118" s="7">
        <v>0.01</v>
      </c>
      <c r="L118" s="7">
        <v>0.01</v>
      </c>
      <c r="M118" s="7">
        <v>0.01</v>
      </c>
      <c r="N118" s="7">
        <v>0.01</v>
      </c>
      <c r="O118" s="7">
        <v>0.01</v>
      </c>
      <c r="Q118" s="8">
        <f t="shared" si="42"/>
        <v>117</v>
      </c>
      <c r="R118" s="8">
        <f t="shared" si="43"/>
        <v>1.17</v>
      </c>
      <c r="S118" s="8">
        <f t="shared" si="44"/>
        <v>1.17</v>
      </c>
      <c r="T118" s="8">
        <f t="shared" si="45"/>
        <v>1.17</v>
      </c>
      <c r="U118" s="8">
        <f t="shared" si="46"/>
        <v>1.17</v>
      </c>
      <c r="V118" s="8">
        <f t="shared" si="47"/>
        <v>1.17</v>
      </c>
      <c r="W118" s="8">
        <f t="shared" si="48"/>
        <v>1.17</v>
      </c>
      <c r="X118" s="8">
        <f t="shared" si="49"/>
        <v>1.17</v>
      </c>
      <c r="Y118" s="8">
        <f t="shared" si="50"/>
        <v>1.17</v>
      </c>
      <c r="Z118" s="8">
        <f t="shared" si="51"/>
        <v>1.17</v>
      </c>
      <c r="AA118" s="9">
        <f t="shared" si="53"/>
        <v>127.53000000000002</v>
      </c>
    </row>
    <row r="119" spans="1:27" ht="15.75" thickBot="1" x14ac:dyDescent="0.3">
      <c r="A119" s="366"/>
      <c r="B119" s="334"/>
      <c r="C119" s="18" t="s">
        <v>150</v>
      </c>
      <c r="D119" s="48">
        <v>60</v>
      </c>
      <c r="E119" s="48">
        <v>78</v>
      </c>
      <c r="F119" s="7">
        <v>0.03</v>
      </c>
      <c r="G119" s="7">
        <v>0.03</v>
      </c>
      <c r="H119" s="7">
        <v>0.03</v>
      </c>
      <c r="I119" s="7">
        <v>0.03</v>
      </c>
      <c r="J119" s="7">
        <v>0.03</v>
      </c>
      <c r="K119" s="7">
        <v>0.03</v>
      </c>
      <c r="L119" s="7">
        <v>0.03</v>
      </c>
      <c r="M119" s="7">
        <v>0.03</v>
      </c>
      <c r="N119" s="7">
        <v>0.03</v>
      </c>
      <c r="O119" s="7">
        <v>0.04</v>
      </c>
      <c r="Q119" s="8">
        <f t="shared" si="42"/>
        <v>60</v>
      </c>
      <c r="R119" s="8">
        <f t="shared" si="43"/>
        <v>1.7999999999999998</v>
      </c>
      <c r="S119" s="8">
        <f t="shared" si="44"/>
        <v>1.7999999999999998</v>
      </c>
      <c r="T119" s="8">
        <f t="shared" si="45"/>
        <v>1.7999999999999998</v>
      </c>
      <c r="U119" s="8">
        <f t="shared" si="46"/>
        <v>1.7999999999999998</v>
      </c>
      <c r="V119" s="8">
        <f t="shared" si="47"/>
        <v>1.7999999999999998</v>
      </c>
      <c r="W119" s="8">
        <f t="shared" si="48"/>
        <v>1.7999999999999998</v>
      </c>
      <c r="X119" s="8">
        <f t="shared" si="49"/>
        <v>1.7999999999999998</v>
      </c>
      <c r="Y119" s="8">
        <f t="shared" si="50"/>
        <v>1.7999999999999998</v>
      </c>
      <c r="Z119" s="8">
        <f t="shared" si="51"/>
        <v>2.4</v>
      </c>
      <c r="AA119" s="9">
        <f t="shared" si="53"/>
        <v>76.799999999999983</v>
      </c>
    </row>
    <row r="120" spans="1:27" ht="15.75" thickBot="1" x14ac:dyDescent="0.3">
      <c r="A120" s="366"/>
      <c r="B120" s="334"/>
      <c r="C120" s="18" t="s">
        <v>151</v>
      </c>
      <c r="D120" s="48">
        <v>54</v>
      </c>
      <c r="E120" s="48">
        <v>71</v>
      </c>
      <c r="F120" s="7">
        <v>0.03</v>
      </c>
      <c r="G120" s="7">
        <v>0.03</v>
      </c>
      <c r="H120" s="7">
        <v>0.03</v>
      </c>
      <c r="I120" s="7">
        <v>0.03</v>
      </c>
      <c r="J120" s="7">
        <v>0.03</v>
      </c>
      <c r="K120" s="7">
        <v>0.03</v>
      </c>
      <c r="L120" s="7">
        <v>0.03</v>
      </c>
      <c r="M120" s="7">
        <v>0.04</v>
      </c>
      <c r="N120" s="7">
        <v>0.04</v>
      </c>
      <c r="O120" s="7">
        <v>0.03</v>
      </c>
      <c r="Q120" s="8">
        <f t="shared" si="42"/>
        <v>54</v>
      </c>
      <c r="R120" s="8">
        <f t="shared" si="43"/>
        <v>1.6199999999999999</v>
      </c>
      <c r="S120" s="8">
        <f t="shared" si="44"/>
        <v>1.6199999999999999</v>
      </c>
      <c r="T120" s="8">
        <f t="shared" si="45"/>
        <v>1.6199999999999999</v>
      </c>
      <c r="U120" s="8">
        <f t="shared" si="46"/>
        <v>1.6199999999999999</v>
      </c>
      <c r="V120" s="8">
        <f t="shared" si="47"/>
        <v>1.6199999999999999</v>
      </c>
      <c r="W120" s="8">
        <f t="shared" si="48"/>
        <v>1.6199999999999999</v>
      </c>
      <c r="X120" s="8">
        <f t="shared" si="49"/>
        <v>2.16</v>
      </c>
      <c r="Y120" s="8">
        <f t="shared" si="50"/>
        <v>2.16</v>
      </c>
      <c r="Z120" s="8">
        <f t="shared" si="51"/>
        <v>1.6199999999999999</v>
      </c>
      <c r="AA120" s="9">
        <f t="shared" si="53"/>
        <v>69.659999999999982</v>
      </c>
    </row>
    <row r="121" spans="1:27" ht="15.75" thickBot="1" x14ac:dyDescent="0.3">
      <c r="A121" s="366"/>
      <c r="B121" s="334"/>
      <c r="C121" s="18" t="s">
        <v>152</v>
      </c>
      <c r="D121" s="40">
        <v>299</v>
      </c>
      <c r="E121" s="40">
        <v>399</v>
      </c>
      <c r="F121" s="7">
        <v>0.03</v>
      </c>
      <c r="G121" s="7">
        <v>0.03</v>
      </c>
      <c r="H121" s="7">
        <v>0.03</v>
      </c>
      <c r="I121" s="7">
        <v>0.04</v>
      </c>
      <c r="J121" s="7">
        <v>0.05</v>
      </c>
      <c r="K121" s="7">
        <v>0.04</v>
      </c>
      <c r="L121" s="7">
        <v>0.03</v>
      </c>
      <c r="M121" s="7">
        <v>0.03</v>
      </c>
      <c r="N121" s="7">
        <v>0.03</v>
      </c>
      <c r="O121" s="7">
        <v>0.03</v>
      </c>
      <c r="Q121" s="8">
        <f t="shared" si="42"/>
        <v>299</v>
      </c>
      <c r="R121" s="8">
        <f t="shared" si="43"/>
        <v>8.9699999999999989</v>
      </c>
      <c r="S121" s="8">
        <f t="shared" si="44"/>
        <v>8.9699999999999989</v>
      </c>
      <c r="T121" s="8">
        <f t="shared" si="45"/>
        <v>11.96</v>
      </c>
      <c r="U121" s="8">
        <f t="shared" si="46"/>
        <v>14.950000000000001</v>
      </c>
      <c r="V121" s="8">
        <f t="shared" si="47"/>
        <v>11.96</v>
      </c>
      <c r="W121" s="8">
        <f t="shared" si="48"/>
        <v>8.9699999999999989</v>
      </c>
      <c r="X121" s="8">
        <f t="shared" si="49"/>
        <v>8.9699999999999989</v>
      </c>
      <c r="Y121" s="8">
        <f t="shared" si="50"/>
        <v>8.9699999999999989</v>
      </c>
      <c r="Z121" s="8">
        <f t="shared" si="51"/>
        <v>8.9699999999999989</v>
      </c>
      <c r="AA121" s="9">
        <f t="shared" si="53"/>
        <v>391.69000000000005</v>
      </c>
    </row>
    <row r="122" spans="1:27" ht="15.75" thickBot="1" x14ac:dyDescent="0.3">
      <c r="A122" s="366"/>
      <c r="B122" s="334"/>
      <c r="C122" s="18" t="s">
        <v>153</v>
      </c>
      <c r="D122" s="48">
        <v>58</v>
      </c>
      <c r="E122" s="48">
        <v>98</v>
      </c>
      <c r="F122" s="7">
        <v>0.08</v>
      </c>
      <c r="G122" s="7">
        <v>7.0000000000000007E-2</v>
      </c>
      <c r="H122" s="7">
        <v>0.06</v>
      </c>
      <c r="I122" s="7">
        <v>0.05</v>
      </c>
      <c r="J122" s="7">
        <v>0.06</v>
      </c>
      <c r="K122" s="7">
        <v>0.06</v>
      </c>
      <c r="L122" s="7">
        <v>0.08</v>
      </c>
      <c r="M122" s="7">
        <v>0.08</v>
      </c>
      <c r="N122" s="7">
        <v>0.08</v>
      </c>
      <c r="O122" s="7">
        <v>7.0000000000000007E-2</v>
      </c>
      <c r="Q122" s="8">
        <f t="shared" si="42"/>
        <v>58</v>
      </c>
      <c r="R122" s="8">
        <f t="shared" si="43"/>
        <v>4.0600000000000005</v>
      </c>
      <c r="S122" s="8">
        <f t="shared" si="44"/>
        <v>3.48</v>
      </c>
      <c r="T122" s="8">
        <f t="shared" si="45"/>
        <v>2.9000000000000004</v>
      </c>
      <c r="U122" s="8">
        <f t="shared" si="46"/>
        <v>3.48</v>
      </c>
      <c r="V122" s="8">
        <f t="shared" si="47"/>
        <v>3.48</v>
      </c>
      <c r="W122" s="8">
        <f t="shared" si="48"/>
        <v>4.6399999999999997</v>
      </c>
      <c r="X122" s="8">
        <f t="shared" si="49"/>
        <v>4.6399999999999997</v>
      </c>
      <c r="Y122" s="8">
        <f t="shared" si="50"/>
        <v>4.6399999999999997</v>
      </c>
      <c r="Z122" s="8">
        <f t="shared" si="51"/>
        <v>4.0600000000000005</v>
      </c>
      <c r="AA122" s="9">
        <f t="shared" si="53"/>
        <v>93.380000000000024</v>
      </c>
    </row>
    <row r="123" spans="1:27" ht="15.75" thickBot="1" x14ac:dyDescent="0.3">
      <c r="A123" s="366"/>
      <c r="B123" s="334"/>
      <c r="C123" s="18" t="s">
        <v>154</v>
      </c>
      <c r="D123" s="48">
        <v>120</v>
      </c>
      <c r="E123" s="48">
        <v>600</v>
      </c>
      <c r="F123" s="7">
        <v>0.4</v>
      </c>
      <c r="G123" s="7">
        <v>0.5</v>
      </c>
      <c r="H123" s="7">
        <v>0.6</v>
      </c>
      <c r="I123" s="7">
        <v>0.5</v>
      </c>
      <c r="J123" s="7">
        <v>0.5</v>
      </c>
      <c r="K123" s="7">
        <v>0.4</v>
      </c>
      <c r="L123" s="7">
        <v>0.4</v>
      </c>
      <c r="M123" s="7">
        <v>0.4</v>
      </c>
      <c r="N123" s="7">
        <v>0.3</v>
      </c>
      <c r="O123" s="7">
        <v>0.3</v>
      </c>
      <c r="Q123" s="8">
        <f t="shared" si="42"/>
        <v>120</v>
      </c>
      <c r="R123" s="8">
        <f t="shared" si="43"/>
        <v>60</v>
      </c>
      <c r="S123" s="8">
        <f t="shared" si="44"/>
        <v>72</v>
      </c>
      <c r="T123" s="8">
        <f t="shared" si="45"/>
        <v>60</v>
      </c>
      <c r="U123" s="8">
        <f t="shared" si="46"/>
        <v>60</v>
      </c>
      <c r="V123" s="8">
        <f t="shared" si="47"/>
        <v>48</v>
      </c>
      <c r="W123" s="8">
        <f t="shared" si="48"/>
        <v>48</v>
      </c>
      <c r="X123" s="8">
        <f t="shared" si="49"/>
        <v>48</v>
      </c>
      <c r="Y123" s="8">
        <f t="shared" si="50"/>
        <v>36</v>
      </c>
      <c r="Z123" s="8">
        <f t="shared" si="51"/>
        <v>36</v>
      </c>
      <c r="AA123" s="9">
        <f t="shared" si="53"/>
        <v>588</v>
      </c>
    </row>
    <row r="124" spans="1:27" ht="15.75" thickBot="1" x14ac:dyDescent="0.3">
      <c r="A124" s="366"/>
      <c r="B124" s="334"/>
      <c r="C124" s="18" t="s">
        <v>155</v>
      </c>
      <c r="D124" s="40">
        <v>60</v>
      </c>
      <c r="E124" s="40">
        <v>117</v>
      </c>
      <c r="F124" s="7">
        <v>1</v>
      </c>
      <c r="G124" s="7">
        <v>0</v>
      </c>
      <c r="H124" s="7">
        <v>0</v>
      </c>
      <c r="I124" s="7">
        <v>0</v>
      </c>
      <c r="J124" s="7">
        <v>0</v>
      </c>
      <c r="K124" s="7">
        <v>0</v>
      </c>
      <c r="L124" s="7">
        <v>0</v>
      </c>
      <c r="M124" s="7">
        <v>0</v>
      </c>
      <c r="N124" s="7">
        <v>0</v>
      </c>
      <c r="O124" s="7">
        <v>0</v>
      </c>
      <c r="Q124" s="8">
        <f t="shared" si="42"/>
        <v>60</v>
      </c>
      <c r="R124" s="8">
        <f t="shared" si="43"/>
        <v>0</v>
      </c>
      <c r="S124" s="8">
        <f t="shared" si="44"/>
        <v>0</v>
      </c>
      <c r="T124" s="8">
        <f t="shared" si="45"/>
        <v>0</v>
      </c>
      <c r="U124" s="8">
        <f t="shared" si="46"/>
        <v>0</v>
      </c>
      <c r="V124" s="8">
        <f t="shared" si="47"/>
        <v>0</v>
      </c>
      <c r="W124" s="8">
        <f t="shared" si="48"/>
        <v>0</v>
      </c>
      <c r="X124" s="8">
        <f t="shared" si="49"/>
        <v>0</v>
      </c>
      <c r="Y124" s="8">
        <f t="shared" si="50"/>
        <v>0</v>
      </c>
      <c r="Z124" s="8">
        <f t="shared" si="51"/>
        <v>0</v>
      </c>
      <c r="AA124" s="9">
        <f t="shared" si="53"/>
        <v>60</v>
      </c>
    </row>
    <row r="125" spans="1:27" ht="39" thickBot="1" x14ac:dyDescent="0.3">
      <c r="A125" s="366"/>
      <c r="B125" s="335"/>
      <c r="C125" s="18" t="s">
        <v>156</v>
      </c>
      <c r="D125" s="40">
        <v>0</v>
      </c>
      <c r="E125" s="43">
        <v>1</v>
      </c>
      <c r="F125" s="7">
        <v>1</v>
      </c>
      <c r="G125" s="7">
        <v>0</v>
      </c>
      <c r="H125" s="7">
        <v>0</v>
      </c>
      <c r="I125" s="7">
        <v>0</v>
      </c>
      <c r="J125" s="7">
        <v>0</v>
      </c>
      <c r="K125" s="7">
        <v>0</v>
      </c>
      <c r="L125" s="7">
        <v>0</v>
      </c>
      <c r="M125" s="7">
        <v>0</v>
      </c>
      <c r="N125" s="7">
        <v>0</v>
      </c>
      <c r="O125" s="7">
        <v>0</v>
      </c>
      <c r="Q125" s="8">
        <f t="shared" si="42"/>
        <v>0</v>
      </c>
      <c r="R125" s="8">
        <f t="shared" si="43"/>
        <v>0</v>
      </c>
      <c r="S125" s="8">
        <f t="shared" si="44"/>
        <v>0</v>
      </c>
      <c r="T125" s="8">
        <f t="shared" si="45"/>
        <v>0</v>
      </c>
      <c r="U125" s="8">
        <f t="shared" si="46"/>
        <v>0</v>
      </c>
      <c r="V125" s="8">
        <f t="shared" si="47"/>
        <v>0</v>
      </c>
      <c r="W125" s="8">
        <f t="shared" si="48"/>
        <v>0</v>
      </c>
      <c r="X125" s="8">
        <f t="shared" si="49"/>
        <v>0</v>
      </c>
      <c r="Y125" s="8">
        <f t="shared" si="50"/>
        <v>0</v>
      </c>
      <c r="Z125" s="8">
        <f t="shared" si="51"/>
        <v>0</v>
      </c>
      <c r="AA125" s="9">
        <f t="shared" si="53"/>
        <v>0</v>
      </c>
    </row>
    <row r="126" spans="1:27" ht="39" thickBot="1" x14ac:dyDescent="0.3">
      <c r="A126" s="366"/>
      <c r="B126" s="49" t="s">
        <v>157</v>
      </c>
      <c r="C126" s="50" t="s">
        <v>158</v>
      </c>
      <c r="D126" s="43">
        <v>1</v>
      </c>
      <c r="E126" s="43">
        <v>1</v>
      </c>
      <c r="F126" s="34">
        <v>0</v>
      </c>
      <c r="G126" s="34">
        <v>0</v>
      </c>
      <c r="H126" s="34">
        <v>0</v>
      </c>
      <c r="I126" s="34">
        <v>0</v>
      </c>
      <c r="J126" s="34">
        <v>0</v>
      </c>
      <c r="K126" s="34">
        <v>0</v>
      </c>
      <c r="L126" s="34">
        <v>0</v>
      </c>
      <c r="M126" s="34">
        <v>0</v>
      </c>
      <c r="N126" s="34">
        <v>0</v>
      </c>
      <c r="O126" s="34">
        <v>0</v>
      </c>
      <c r="Q126" s="8">
        <f t="shared" si="42"/>
        <v>1</v>
      </c>
      <c r="R126" s="8">
        <f t="shared" si="43"/>
        <v>0</v>
      </c>
      <c r="S126" s="8">
        <f t="shared" si="44"/>
        <v>0</v>
      </c>
      <c r="T126" s="8">
        <f t="shared" si="45"/>
        <v>0</v>
      </c>
      <c r="U126" s="8">
        <f t="shared" si="46"/>
        <v>0</v>
      </c>
      <c r="V126" s="8">
        <f t="shared" si="47"/>
        <v>0</v>
      </c>
      <c r="W126" s="8">
        <f t="shared" si="48"/>
        <v>0</v>
      </c>
      <c r="X126" s="8">
        <f t="shared" si="49"/>
        <v>0</v>
      </c>
      <c r="Y126" s="8">
        <f t="shared" si="50"/>
        <v>0</v>
      </c>
      <c r="Z126" s="8">
        <f t="shared" si="51"/>
        <v>0</v>
      </c>
      <c r="AA126" s="9">
        <f t="shared" si="53"/>
        <v>1</v>
      </c>
    </row>
    <row r="127" spans="1:27" ht="39" thickBot="1" x14ac:dyDescent="0.3">
      <c r="A127" s="366"/>
      <c r="B127" s="51" t="s">
        <v>159</v>
      </c>
      <c r="C127" s="50" t="s">
        <v>160</v>
      </c>
      <c r="D127" s="43">
        <v>0</v>
      </c>
      <c r="E127" s="43">
        <v>1</v>
      </c>
      <c r="F127" s="34">
        <v>0.3</v>
      </c>
      <c r="G127" s="34">
        <v>0.7</v>
      </c>
      <c r="H127" s="34">
        <v>0</v>
      </c>
      <c r="I127" s="34">
        <v>0</v>
      </c>
      <c r="J127" s="34">
        <v>0</v>
      </c>
      <c r="K127" s="34">
        <v>0</v>
      </c>
      <c r="L127" s="34">
        <v>0</v>
      </c>
      <c r="M127" s="34">
        <v>0</v>
      </c>
      <c r="N127" s="34">
        <v>0</v>
      </c>
      <c r="O127" s="34">
        <v>0</v>
      </c>
      <c r="Q127" s="8">
        <f t="shared" si="42"/>
        <v>0</v>
      </c>
      <c r="R127" s="8">
        <f t="shared" si="43"/>
        <v>0</v>
      </c>
      <c r="S127" s="8">
        <f t="shared" si="44"/>
        <v>0</v>
      </c>
      <c r="T127" s="8">
        <f t="shared" si="45"/>
        <v>0</v>
      </c>
      <c r="U127" s="8">
        <f t="shared" si="46"/>
        <v>0</v>
      </c>
      <c r="V127" s="8">
        <f t="shared" si="47"/>
        <v>0</v>
      </c>
      <c r="W127" s="8">
        <f t="shared" si="48"/>
        <v>0</v>
      </c>
      <c r="X127" s="8">
        <f t="shared" si="49"/>
        <v>0</v>
      </c>
      <c r="Y127" s="8">
        <f t="shared" si="50"/>
        <v>0</v>
      </c>
      <c r="Z127" s="8">
        <f t="shared" si="51"/>
        <v>0</v>
      </c>
      <c r="AA127" s="9">
        <f t="shared" si="53"/>
        <v>0</v>
      </c>
    </row>
    <row r="128" spans="1:27" ht="26.25" thickBot="1" x14ac:dyDescent="0.3">
      <c r="A128" s="366"/>
      <c r="B128" s="333" t="s">
        <v>161</v>
      </c>
      <c r="C128" s="18" t="s">
        <v>162</v>
      </c>
      <c r="D128" s="40">
        <v>0</v>
      </c>
      <c r="E128" s="43">
        <v>1</v>
      </c>
      <c r="F128" s="7">
        <v>1</v>
      </c>
      <c r="G128" s="7">
        <v>0</v>
      </c>
      <c r="H128" s="7">
        <v>0</v>
      </c>
      <c r="I128" s="7">
        <v>0</v>
      </c>
      <c r="J128" s="7">
        <v>0</v>
      </c>
      <c r="K128" s="7">
        <v>0</v>
      </c>
      <c r="L128" s="7">
        <v>0</v>
      </c>
      <c r="M128" s="7">
        <v>0</v>
      </c>
      <c r="N128" s="7">
        <v>0</v>
      </c>
      <c r="O128" s="7">
        <v>0</v>
      </c>
      <c r="Q128" s="8">
        <f t="shared" si="42"/>
        <v>0</v>
      </c>
      <c r="R128" s="8">
        <f t="shared" si="43"/>
        <v>0</v>
      </c>
      <c r="S128" s="8">
        <f t="shared" si="44"/>
        <v>0</v>
      </c>
      <c r="T128" s="8">
        <f t="shared" si="45"/>
        <v>0</v>
      </c>
      <c r="U128" s="8">
        <f t="shared" si="46"/>
        <v>0</v>
      </c>
      <c r="V128" s="8">
        <f t="shared" si="47"/>
        <v>0</v>
      </c>
      <c r="W128" s="8">
        <f t="shared" si="48"/>
        <v>0</v>
      </c>
      <c r="X128" s="8">
        <f t="shared" si="49"/>
        <v>0</v>
      </c>
      <c r="Y128" s="8">
        <f t="shared" si="50"/>
        <v>0</v>
      </c>
      <c r="Z128" s="8">
        <f t="shared" si="51"/>
        <v>0</v>
      </c>
      <c r="AA128" s="9">
        <f t="shared" si="53"/>
        <v>0</v>
      </c>
    </row>
    <row r="129" spans="1:27" ht="15.75" thickBot="1" x14ac:dyDescent="0.3">
      <c r="A129" s="366"/>
      <c r="B129" s="334"/>
      <c r="C129" s="18" t="s">
        <v>163</v>
      </c>
      <c r="D129" s="40">
        <v>0</v>
      </c>
      <c r="E129" s="43">
        <v>1</v>
      </c>
      <c r="F129" s="7">
        <v>0</v>
      </c>
      <c r="G129" s="7">
        <v>0</v>
      </c>
      <c r="H129" s="7">
        <v>0</v>
      </c>
      <c r="I129" s="7">
        <v>0</v>
      </c>
      <c r="J129" s="7">
        <v>0</v>
      </c>
      <c r="K129" s="7">
        <v>0</v>
      </c>
      <c r="L129" s="7">
        <v>0</v>
      </c>
      <c r="M129" s="7">
        <v>0</v>
      </c>
      <c r="N129" s="7">
        <v>0</v>
      </c>
      <c r="O129" s="7">
        <v>0</v>
      </c>
      <c r="Q129" s="8">
        <f t="shared" si="42"/>
        <v>0</v>
      </c>
      <c r="R129" s="8">
        <f t="shared" si="43"/>
        <v>0</v>
      </c>
      <c r="S129" s="8">
        <f t="shared" si="44"/>
        <v>0</v>
      </c>
      <c r="T129" s="8">
        <f t="shared" si="45"/>
        <v>0</v>
      </c>
      <c r="U129" s="8">
        <f t="shared" si="46"/>
        <v>0</v>
      </c>
      <c r="V129" s="8">
        <f t="shared" si="47"/>
        <v>0</v>
      </c>
      <c r="W129" s="8">
        <f t="shared" si="48"/>
        <v>0</v>
      </c>
      <c r="X129" s="8">
        <f t="shared" si="49"/>
        <v>0</v>
      </c>
      <c r="Y129" s="8">
        <f t="shared" si="50"/>
        <v>0</v>
      </c>
      <c r="Z129" s="8">
        <f t="shared" si="51"/>
        <v>0</v>
      </c>
      <c r="AA129" s="9">
        <f t="shared" si="53"/>
        <v>0</v>
      </c>
    </row>
    <row r="130" spans="1:27" ht="39" thickBot="1" x14ac:dyDescent="0.3">
      <c r="A130" s="366"/>
      <c r="B130" s="336"/>
      <c r="C130" s="18" t="s">
        <v>164</v>
      </c>
      <c r="D130" s="40">
        <v>0</v>
      </c>
      <c r="E130" s="43">
        <v>1</v>
      </c>
      <c r="F130" s="7">
        <v>0.5</v>
      </c>
      <c r="G130" s="7">
        <v>0.45</v>
      </c>
      <c r="H130" s="7">
        <v>0.05</v>
      </c>
      <c r="I130" s="7">
        <v>0</v>
      </c>
      <c r="J130" s="7">
        <v>0</v>
      </c>
      <c r="K130" s="7">
        <v>0</v>
      </c>
      <c r="L130" s="7">
        <v>0</v>
      </c>
      <c r="M130" s="7">
        <v>0</v>
      </c>
      <c r="N130" s="7">
        <v>0</v>
      </c>
      <c r="O130" s="7">
        <v>0</v>
      </c>
      <c r="Q130" s="8">
        <f t="shared" si="42"/>
        <v>0</v>
      </c>
      <c r="R130" s="8">
        <f t="shared" si="43"/>
        <v>0</v>
      </c>
      <c r="S130" s="8">
        <f t="shared" si="44"/>
        <v>0</v>
      </c>
      <c r="T130" s="8">
        <f t="shared" si="45"/>
        <v>0</v>
      </c>
      <c r="U130" s="8">
        <f t="shared" si="46"/>
        <v>0</v>
      </c>
      <c r="V130" s="8">
        <f t="shared" si="47"/>
        <v>0</v>
      </c>
      <c r="W130" s="8">
        <f t="shared" si="48"/>
        <v>0</v>
      </c>
      <c r="X130" s="8">
        <f t="shared" si="49"/>
        <v>0</v>
      </c>
      <c r="Y130" s="8">
        <f t="shared" si="50"/>
        <v>0</v>
      </c>
      <c r="Z130" s="8">
        <f t="shared" si="51"/>
        <v>0</v>
      </c>
      <c r="AA130" s="9">
        <f t="shared" si="53"/>
        <v>0</v>
      </c>
    </row>
    <row r="131" spans="1:27" ht="39" thickBot="1" x14ac:dyDescent="0.3">
      <c r="A131" s="366"/>
      <c r="B131" s="25" t="s">
        <v>165</v>
      </c>
      <c r="C131" s="18" t="s">
        <v>166</v>
      </c>
      <c r="D131" s="40">
        <v>0</v>
      </c>
      <c r="E131" s="43">
        <v>1</v>
      </c>
      <c r="F131" s="7">
        <v>0.5</v>
      </c>
      <c r="G131" s="7">
        <v>0.45</v>
      </c>
      <c r="H131" s="7">
        <v>0.05</v>
      </c>
      <c r="I131" s="7">
        <v>0</v>
      </c>
      <c r="J131" s="7">
        <v>0</v>
      </c>
      <c r="K131" s="7">
        <v>0</v>
      </c>
      <c r="L131" s="7">
        <v>0</v>
      </c>
      <c r="M131" s="7">
        <v>0</v>
      </c>
      <c r="N131" s="7">
        <v>0</v>
      </c>
      <c r="O131" s="7">
        <v>0</v>
      </c>
      <c r="Q131" s="8">
        <f t="shared" si="42"/>
        <v>0</v>
      </c>
      <c r="R131" s="8">
        <f t="shared" si="43"/>
        <v>0</v>
      </c>
      <c r="S131" s="8">
        <f t="shared" si="44"/>
        <v>0</v>
      </c>
      <c r="T131" s="8">
        <f t="shared" si="45"/>
        <v>0</v>
      </c>
      <c r="U131" s="8">
        <f t="shared" si="46"/>
        <v>0</v>
      </c>
      <c r="V131" s="8">
        <f t="shared" si="47"/>
        <v>0</v>
      </c>
      <c r="W131" s="8">
        <f t="shared" si="48"/>
        <v>0</v>
      </c>
      <c r="X131" s="8">
        <f t="shared" si="49"/>
        <v>0</v>
      </c>
      <c r="Y131" s="8">
        <f t="shared" si="50"/>
        <v>0</v>
      </c>
      <c r="Z131" s="8">
        <f t="shared" si="51"/>
        <v>0</v>
      </c>
      <c r="AA131" s="9">
        <f t="shared" si="53"/>
        <v>0</v>
      </c>
    </row>
    <row r="132" spans="1:27" ht="51.75" thickBot="1" x14ac:dyDescent="0.3">
      <c r="A132" s="367"/>
      <c r="B132" s="25" t="s">
        <v>167</v>
      </c>
      <c r="C132" s="18" t="s">
        <v>168</v>
      </c>
      <c r="D132" s="40">
        <v>180</v>
      </c>
      <c r="E132" s="40">
        <v>206</v>
      </c>
      <c r="F132" s="7">
        <v>1</v>
      </c>
      <c r="G132" s="7">
        <v>0</v>
      </c>
      <c r="H132" s="7">
        <v>0</v>
      </c>
      <c r="I132" s="7">
        <v>0</v>
      </c>
      <c r="J132" s="7">
        <v>0</v>
      </c>
      <c r="K132" s="7">
        <v>0</v>
      </c>
      <c r="L132" s="7">
        <v>0</v>
      </c>
      <c r="M132" s="7">
        <v>0</v>
      </c>
      <c r="N132" s="7">
        <v>0</v>
      </c>
      <c r="O132" s="7">
        <v>0</v>
      </c>
      <c r="Q132" s="8">
        <f t="shared" si="42"/>
        <v>180</v>
      </c>
      <c r="R132" s="8">
        <f t="shared" si="43"/>
        <v>0</v>
      </c>
      <c r="S132" s="8">
        <f t="shared" si="44"/>
        <v>0</v>
      </c>
      <c r="T132" s="8">
        <f t="shared" si="45"/>
        <v>0</v>
      </c>
      <c r="U132" s="8">
        <f t="shared" si="46"/>
        <v>0</v>
      </c>
      <c r="V132" s="8">
        <f t="shared" si="47"/>
        <v>0</v>
      </c>
      <c r="W132" s="8">
        <f t="shared" si="48"/>
        <v>0</v>
      </c>
      <c r="X132" s="8">
        <f t="shared" si="49"/>
        <v>0</v>
      </c>
      <c r="Y132" s="8">
        <f t="shared" si="50"/>
        <v>0</v>
      </c>
      <c r="Z132" s="8">
        <f t="shared" si="51"/>
        <v>0</v>
      </c>
      <c r="AA132" s="9">
        <f t="shared" si="53"/>
        <v>180</v>
      </c>
    </row>
  </sheetData>
  <customSheetViews>
    <customSheetView guid="{FC774746-3857-4381-B35D-AC071296263D}" state="hidden" topLeftCell="A69">
      <selection activeCell="B103" sqref="B103:B132"/>
      <pageMargins left="0.7" right="0.7" top="0.75" bottom="0.75" header="0.3" footer="0.3"/>
    </customSheetView>
  </customSheetViews>
  <mergeCells count="64">
    <mergeCell ref="Q101:Z101"/>
    <mergeCell ref="A103:A132"/>
    <mergeCell ref="B104:B125"/>
    <mergeCell ref="B128:B130"/>
    <mergeCell ref="A101:A102"/>
    <mergeCell ref="B101:B102"/>
    <mergeCell ref="C101:C102"/>
    <mergeCell ref="D101:D102"/>
    <mergeCell ref="E101:E102"/>
    <mergeCell ref="F101:O101"/>
    <mergeCell ref="Q72:Z72"/>
    <mergeCell ref="A74:A97"/>
    <mergeCell ref="B74:B79"/>
    <mergeCell ref="B80:B82"/>
    <mergeCell ref="B83:B86"/>
    <mergeCell ref="B87:B88"/>
    <mergeCell ref="B89:B96"/>
    <mergeCell ref="C91:C93"/>
    <mergeCell ref="A72:A73"/>
    <mergeCell ref="B72:B73"/>
    <mergeCell ref="C72:C73"/>
    <mergeCell ref="D72:D73"/>
    <mergeCell ref="E72:E73"/>
    <mergeCell ref="F72:O72"/>
    <mergeCell ref="Q45:Z45"/>
    <mergeCell ref="A47:A70"/>
    <mergeCell ref="B47:B50"/>
    <mergeCell ref="B52:B58"/>
    <mergeCell ref="B60:B61"/>
    <mergeCell ref="B62:B64"/>
    <mergeCell ref="B65:B66"/>
    <mergeCell ref="B67:B70"/>
    <mergeCell ref="A45:A46"/>
    <mergeCell ref="B45:B46"/>
    <mergeCell ref="C45:C46"/>
    <mergeCell ref="D45:D46"/>
    <mergeCell ref="E45:E46"/>
    <mergeCell ref="F45:O45"/>
    <mergeCell ref="F17:O17"/>
    <mergeCell ref="Q17:Z17"/>
    <mergeCell ref="A19:A42"/>
    <mergeCell ref="B19:B21"/>
    <mergeCell ref="B22:B27"/>
    <mergeCell ref="B28:B30"/>
    <mergeCell ref="B31:B32"/>
    <mergeCell ref="B33:B34"/>
    <mergeCell ref="B35:B36"/>
    <mergeCell ref="B39:B42"/>
    <mergeCell ref="A17:A18"/>
    <mergeCell ref="B17:B18"/>
    <mergeCell ref="C17:C18"/>
    <mergeCell ref="D17:D18"/>
    <mergeCell ref="E17:E18"/>
    <mergeCell ref="Q2:Z2"/>
    <mergeCell ref="A4:A15"/>
    <mergeCell ref="B5:B7"/>
    <mergeCell ref="B8:B10"/>
    <mergeCell ref="B11:B12"/>
    <mergeCell ref="A2:A3"/>
    <mergeCell ref="B2:B3"/>
    <mergeCell ref="C2:C3"/>
    <mergeCell ref="D2:D3"/>
    <mergeCell ref="E2:E3"/>
    <mergeCell ref="F2:O2"/>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election activeCell="B20" sqref="B20"/>
    </sheetView>
  </sheetViews>
  <sheetFormatPr baseColWidth="10" defaultRowHeight="15" x14ac:dyDescent="0.25"/>
  <cols>
    <col min="1" max="1" width="78.140625" bestFit="1" customWidth="1"/>
  </cols>
  <sheetData>
    <row r="1" spans="1:1" x14ac:dyDescent="0.25">
      <c r="A1" t="s">
        <v>0</v>
      </c>
    </row>
    <row r="2" spans="1:1" x14ac:dyDescent="0.25">
      <c r="A2" t="s">
        <v>1</v>
      </c>
    </row>
    <row r="3" spans="1:1" x14ac:dyDescent="0.25">
      <c r="A3" t="s">
        <v>2</v>
      </c>
    </row>
    <row r="4" spans="1:1" x14ac:dyDescent="0.25">
      <c r="A4" t="s">
        <v>3</v>
      </c>
    </row>
    <row r="5" spans="1:1" x14ac:dyDescent="0.25">
      <c r="A5" t="s">
        <v>4</v>
      </c>
    </row>
    <row r="6" spans="1:1" x14ac:dyDescent="0.25">
      <c r="A6" t="s">
        <v>5</v>
      </c>
    </row>
    <row r="7" spans="1:1" x14ac:dyDescent="0.25">
      <c r="A7" t="s">
        <v>6</v>
      </c>
    </row>
  </sheetData>
  <customSheetViews>
    <customSheetView guid="{FC774746-3857-4381-B35D-AC071296263D}" state="hidden">
      <selection activeCell="A7" sqref="A7"/>
      <pageMargins left="0.7" right="0.7" top="0.75" bottom="0.75" header="0.3" footer="0.3"/>
    </customSheetView>
  </customSheetView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41"/>
  <sheetViews>
    <sheetView zoomScale="98" zoomScaleNormal="98" workbookViewId="0">
      <pane xSplit="5" ySplit="2" topLeftCell="AF3" activePane="bottomRight" state="frozen"/>
      <selection activeCell="P130" sqref="P130"/>
      <selection pane="topRight" activeCell="P130" sqref="P130"/>
      <selection pane="bottomLeft" activeCell="P130" sqref="P130"/>
      <selection pane="bottomRight" activeCell="AL1" sqref="AL1"/>
    </sheetView>
  </sheetViews>
  <sheetFormatPr baseColWidth="10" defaultColWidth="0" defaultRowHeight="15" x14ac:dyDescent="0.25"/>
  <cols>
    <col min="1" max="1" width="11.42578125" customWidth="1"/>
    <col min="2" max="2" width="14.85546875" customWidth="1"/>
    <col min="3" max="3" width="66.42578125" customWidth="1"/>
    <col min="4" max="4" width="18" customWidth="1"/>
    <col min="5" max="5" width="12.85546875" customWidth="1"/>
    <col min="6" max="13" width="12.140625" customWidth="1"/>
    <col min="14" max="17" width="11.42578125" customWidth="1"/>
    <col min="18" max="18" width="14.85546875" bestFit="1" customWidth="1"/>
    <col min="19" max="19" width="29.85546875" customWidth="1"/>
    <col min="20" max="20" width="11.42578125" style="175" customWidth="1"/>
    <col min="21" max="21" width="15.28515625" style="175" customWidth="1"/>
    <col min="22" max="22" width="17.140625" style="175" customWidth="1"/>
    <col min="23" max="23" width="11.42578125" customWidth="1"/>
    <col min="24" max="24" width="13" customWidth="1"/>
    <col min="25" max="25" width="29" customWidth="1"/>
    <col min="26" max="26" width="9" customWidth="1"/>
    <col min="27" max="27" width="7.42578125" customWidth="1"/>
    <col min="28" max="28" width="7.5703125" customWidth="1"/>
    <col min="29" max="29" width="8.5703125" customWidth="1"/>
    <col min="30" max="30" width="11.42578125" customWidth="1"/>
    <col min="31" max="31" width="27.85546875" customWidth="1"/>
    <col min="32" max="34" width="11.42578125" customWidth="1"/>
    <col min="35" max="35" width="14.28515625" customWidth="1"/>
    <col min="36" max="36" width="13.7109375" customWidth="1"/>
    <col min="37" max="37" width="26.85546875" customWidth="1"/>
    <col min="38" max="39" width="11.42578125" customWidth="1"/>
    <col min="40" max="40" width="14.5703125" customWidth="1"/>
    <col min="41" max="41" width="16" hidden="1" customWidth="1"/>
    <col min="42" max="16384" width="11.42578125" hidden="1"/>
  </cols>
  <sheetData>
    <row r="1" spans="1:60" x14ac:dyDescent="0.25">
      <c r="A1" s="260" t="s">
        <v>213</v>
      </c>
      <c r="B1" s="263" t="s">
        <v>212</v>
      </c>
      <c r="C1" s="263" t="s">
        <v>211</v>
      </c>
      <c r="D1" s="260" t="s">
        <v>543</v>
      </c>
      <c r="E1" s="260" t="s">
        <v>198</v>
      </c>
      <c r="F1" s="260" t="s">
        <v>825</v>
      </c>
      <c r="G1" s="260" t="s">
        <v>827</v>
      </c>
      <c r="H1" s="260" t="s">
        <v>825</v>
      </c>
      <c r="I1" s="260" t="s">
        <v>826</v>
      </c>
      <c r="J1" s="260" t="s">
        <v>825</v>
      </c>
      <c r="K1" s="260" t="s">
        <v>828</v>
      </c>
      <c r="L1" s="260" t="s">
        <v>825</v>
      </c>
      <c r="M1" s="260" t="s">
        <v>829</v>
      </c>
      <c r="N1" s="272" t="s">
        <v>191</v>
      </c>
      <c r="O1" s="272"/>
      <c r="P1" s="272"/>
      <c r="Q1" s="272"/>
      <c r="R1" s="272"/>
      <c r="S1" s="272"/>
      <c r="T1" s="275" t="s">
        <v>197</v>
      </c>
      <c r="U1" s="275"/>
      <c r="V1" s="275"/>
      <c r="W1" s="275"/>
      <c r="X1" s="275"/>
      <c r="Y1" s="275"/>
      <c r="Z1" s="273" t="s">
        <v>200</v>
      </c>
      <c r="AA1" s="273"/>
      <c r="AB1" s="273"/>
      <c r="AC1" s="273"/>
      <c r="AD1" s="273"/>
      <c r="AE1" s="273"/>
      <c r="AF1" s="269" t="s">
        <v>204</v>
      </c>
      <c r="AG1" s="269"/>
      <c r="AH1" s="269"/>
      <c r="AI1" s="269"/>
      <c r="AJ1" s="269"/>
      <c r="AK1" s="269"/>
      <c r="AP1" s="260" t="s">
        <v>198</v>
      </c>
      <c r="AQ1" s="262" t="s">
        <v>191</v>
      </c>
      <c r="AR1" s="262"/>
      <c r="AS1" s="265" t="s">
        <v>291</v>
      </c>
      <c r="AT1" s="266"/>
      <c r="AU1" s="282" t="s">
        <v>197</v>
      </c>
      <c r="AV1" s="282"/>
      <c r="AW1" s="288" t="s">
        <v>291</v>
      </c>
      <c r="AX1" s="289"/>
      <c r="AY1" s="283" t="s">
        <v>200</v>
      </c>
      <c r="AZ1" s="283"/>
      <c r="BA1" s="284" t="s">
        <v>291</v>
      </c>
      <c r="BB1" s="285"/>
      <c r="BC1" s="277" t="s">
        <v>204</v>
      </c>
      <c r="BD1" s="277"/>
      <c r="BE1" s="278" t="s">
        <v>291</v>
      </c>
      <c r="BF1" s="279"/>
    </row>
    <row r="2" spans="1:60" x14ac:dyDescent="0.25">
      <c r="A2" s="261"/>
      <c r="B2" s="264"/>
      <c r="C2" s="264"/>
      <c r="D2" s="261"/>
      <c r="E2" s="261"/>
      <c r="F2" s="261"/>
      <c r="G2" s="261"/>
      <c r="H2" s="261"/>
      <c r="I2" s="261"/>
      <c r="J2" s="261"/>
      <c r="K2" s="261"/>
      <c r="L2" s="261"/>
      <c r="M2" s="261"/>
      <c r="N2" s="61" t="s">
        <v>192</v>
      </c>
      <c r="O2" s="61" t="s">
        <v>193</v>
      </c>
      <c r="P2" s="61" t="s">
        <v>194</v>
      </c>
      <c r="Q2" s="61" t="s">
        <v>195</v>
      </c>
      <c r="R2" s="271" t="s">
        <v>196</v>
      </c>
      <c r="S2" s="271"/>
      <c r="T2" s="158" t="s">
        <v>199</v>
      </c>
      <c r="U2" s="158" t="s">
        <v>292</v>
      </c>
      <c r="V2" s="158" t="s">
        <v>201</v>
      </c>
      <c r="W2" s="60" t="s">
        <v>195</v>
      </c>
      <c r="X2" s="276" t="s">
        <v>196</v>
      </c>
      <c r="Y2" s="276"/>
      <c r="Z2" s="62" t="s">
        <v>202</v>
      </c>
      <c r="AA2" s="62" t="s">
        <v>203</v>
      </c>
      <c r="AB2" s="62" t="s">
        <v>207</v>
      </c>
      <c r="AC2" s="62" t="s">
        <v>195</v>
      </c>
      <c r="AD2" s="274" t="s">
        <v>196</v>
      </c>
      <c r="AE2" s="274"/>
      <c r="AF2" s="63" t="s">
        <v>208</v>
      </c>
      <c r="AG2" s="63" t="s">
        <v>209</v>
      </c>
      <c r="AH2" s="63" t="s">
        <v>210</v>
      </c>
      <c r="AI2" s="63" t="s">
        <v>195</v>
      </c>
      <c r="AJ2" s="270" t="s">
        <v>196</v>
      </c>
      <c r="AK2" s="270"/>
      <c r="AP2" s="261"/>
      <c r="AQ2" s="76" t="s">
        <v>290</v>
      </c>
      <c r="AR2" s="57" t="s">
        <v>263</v>
      </c>
      <c r="AS2" s="267"/>
      <c r="AT2" s="268"/>
      <c r="AU2" s="76" t="s">
        <v>290</v>
      </c>
      <c r="AV2" s="57" t="s">
        <v>263</v>
      </c>
      <c r="AW2" s="290"/>
      <c r="AX2" s="291"/>
      <c r="AY2" s="76" t="s">
        <v>290</v>
      </c>
      <c r="AZ2" s="57" t="s">
        <v>263</v>
      </c>
      <c r="BA2" s="286"/>
      <c r="BB2" s="287"/>
      <c r="BC2" s="76" t="s">
        <v>290</v>
      </c>
      <c r="BD2" s="57" t="s">
        <v>263</v>
      </c>
      <c r="BE2" s="280"/>
      <c r="BF2" s="281"/>
    </row>
    <row r="3" spans="1:60" ht="31.5" customHeight="1" x14ac:dyDescent="0.25">
      <c r="A3" s="292" t="s">
        <v>183</v>
      </c>
      <c r="B3" s="57" t="s">
        <v>169</v>
      </c>
      <c r="C3" s="54" t="s">
        <v>172</v>
      </c>
      <c r="D3" s="295" t="s">
        <v>574</v>
      </c>
      <c r="E3" s="96">
        <f>3450</f>
        <v>3450</v>
      </c>
      <c r="F3" s="206">
        <v>0.25</v>
      </c>
      <c r="G3" s="206">
        <f>+E3*F3</f>
        <v>862.5</v>
      </c>
      <c r="H3" s="206">
        <v>0.5</v>
      </c>
      <c r="I3" s="206">
        <f>+E3*H3</f>
        <v>1725</v>
      </c>
      <c r="J3" s="206">
        <v>0.75</v>
      </c>
      <c r="K3" s="206">
        <f>+J3*E3</f>
        <v>2587.5</v>
      </c>
      <c r="L3" s="206">
        <v>1</v>
      </c>
      <c r="M3" s="206">
        <f>+L3*E3</f>
        <v>3450</v>
      </c>
      <c r="N3" s="131">
        <v>345</v>
      </c>
      <c r="O3" s="131">
        <v>345</v>
      </c>
      <c r="P3" s="131">
        <v>345</v>
      </c>
      <c r="Q3" s="57">
        <f>N3+O3+P3</f>
        <v>1035</v>
      </c>
      <c r="R3" s="59">
        <v>1</v>
      </c>
      <c r="S3" s="55" t="str">
        <f t="shared" ref="S3:S21" si="0">IF(AND(E3&gt;0,Q3=0),"¡¡Ojo No se Ejecutaron Actividades!!",IF(R3="","",IF(R3&lt;8.99%,"Se ha avanzado muy poco o nada en este indicador",IF(R3&lt;=19.99%,"Nivel Aceptable del Indicador",IF(R3&lt;=24.99%,"Nivel del indicador que cumple las expectativas","Nivel del indicador que satisface y supera las expectativas")))))</f>
        <v>Nivel del indicador que satisface y supera las expectativas</v>
      </c>
      <c r="T3" s="163">
        <v>230</v>
      </c>
      <c r="U3" s="163">
        <v>230</v>
      </c>
      <c r="V3" s="163">
        <v>230</v>
      </c>
      <c r="W3" s="56">
        <f>T3+U3+V3+Q3</f>
        <v>1725</v>
      </c>
      <c r="X3" s="59">
        <f>IF(W3&gt;0,W3/I3,"")</f>
        <v>1</v>
      </c>
      <c r="Y3" s="55" t="str">
        <f>IF(AND(E3&gt;0,W3=0),"¡¡Ojo No se Ejecutaron Actividades!!",IF(X3="","",IF(X3&lt;15.99%,"Se ha avanzado muy poco o nada en este indicador",IF(X3&lt;=36.99%,"Nivel Aceptable del Indicador",IF(X3&lt;=49.99%,"Nivel del indicador que cumple las expectativas","Nivel del indicador que satisface y supera las expectativas")))))</f>
        <v>Nivel del indicador que satisface y supera las expectativas</v>
      </c>
      <c r="Z3" s="57"/>
      <c r="AA3" s="57"/>
      <c r="AB3" s="214">
        <v>864</v>
      </c>
      <c r="AC3" s="56">
        <f>Z3+AA3+AB3+W3</f>
        <v>2589</v>
      </c>
      <c r="AD3" s="59">
        <v>1</v>
      </c>
      <c r="AE3" s="55" t="str">
        <f>IF(AND(E3&gt;0,AC3=0),"¡¡Ojo No se Ejecutaron Actividades!!",IF(AD3="","",IF(AD3&lt;24.99%,"Se ha avanzado muy poco o nada en este indicador",IF(AD3&lt;=55.99%,"Nivel Aceptable del Indicador",IF(AD3&lt;=74.99%,"Nivel del indicador que cumple las expectativas","Nivel del indicador que satisface y supera las expectativas")))))</f>
        <v>Nivel del indicador que satisface y supera las expectativas</v>
      </c>
      <c r="AF3" s="57"/>
      <c r="AG3" s="57"/>
      <c r="AH3" s="57"/>
      <c r="AI3" s="56">
        <f>+AC3</f>
        <v>2589</v>
      </c>
      <c r="AJ3" s="59">
        <f>IFERROR((IF(AI3&gt;0,AI3/E3,"")),0)</f>
        <v>0.75043478260869567</v>
      </c>
      <c r="AK3" s="55" t="str">
        <f>IF(AND(E3&gt;0,AI3=0),"¡¡Ojo No se Ejecutaron Actividades!!",IF(AJ3="","",IF(AJ3&lt;33.99%,"Se ha avanzado muy poco o nada en este indicador",IF(AJ3&lt;=75.99%,"Nivel Aceptable del Indicador",IF(AJ3&lt;=98.99%,"Nivel del indicador que cumple las expectativas","Nivel del indicador que satisface y supera las expectativas")))))</f>
        <v>Nivel Aceptable del Indicador</v>
      </c>
      <c r="AP3" s="52">
        <f>E3</f>
        <v>3450</v>
      </c>
      <c r="AQ3" s="52">
        <f>AP3/4</f>
        <v>862.5</v>
      </c>
      <c r="AR3" s="52">
        <f>Q3</f>
        <v>1035</v>
      </c>
      <c r="AS3" s="79">
        <f>IFERROR((AR3/AQ3),0)</f>
        <v>1.2</v>
      </c>
      <c r="AT3" s="79">
        <f>IFERROR((((AR3*25)/AQ3)/100),0)</f>
        <v>0.3</v>
      </c>
      <c r="AU3" s="52">
        <f>AP3/2</f>
        <v>1725</v>
      </c>
      <c r="AV3" s="77">
        <f>W3+AT3</f>
        <v>1725.3</v>
      </c>
      <c r="AW3" s="79">
        <f>IFERROR((AV3/AU3),0)</f>
        <v>1.0001739130434781</v>
      </c>
      <c r="AX3" s="79">
        <f>IFERROR((((AV3*50)/AU3)/100),0)</f>
        <v>0.50008695652173918</v>
      </c>
      <c r="AY3" s="52">
        <f>AQ3+AU3</f>
        <v>2587.5</v>
      </c>
      <c r="AZ3" s="77">
        <f>AC3+AV3</f>
        <v>4314.3</v>
      </c>
      <c r="BA3" s="79">
        <f>IFERROR((AZ3/AY3),0)</f>
        <v>1.6673623188405797</v>
      </c>
      <c r="BB3" s="79">
        <f>IFERROR((((AZ3*75)/AY3)/100),0)</f>
        <v>1.2505217391304349</v>
      </c>
      <c r="BC3" s="52">
        <f>AY3+AQ3</f>
        <v>3450</v>
      </c>
      <c r="BD3" s="77">
        <f>AI3+AZ3</f>
        <v>6903.3</v>
      </c>
      <c r="BE3" s="79">
        <f>IFERROR((BD3/BC3),0)</f>
        <v>2.0009565217391305</v>
      </c>
      <c r="BF3" s="79">
        <f>IFERROR((((BD3*100)/BC3)/100),0)</f>
        <v>2.0009565217391305</v>
      </c>
      <c r="BG3" s="52"/>
      <c r="BH3" s="52"/>
    </row>
    <row r="4" spans="1:60" ht="30" x14ac:dyDescent="0.25">
      <c r="A4" s="293"/>
      <c r="B4" s="57" t="s">
        <v>170</v>
      </c>
      <c r="C4" s="54" t="s">
        <v>173</v>
      </c>
      <c r="D4" s="296"/>
      <c r="E4" s="96">
        <v>3450</v>
      </c>
      <c r="F4" s="206">
        <v>0.25</v>
      </c>
      <c r="G4" s="206">
        <f t="shared" ref="G4:G67" si="1">+E4*F4</f>
        <v>862.5</v>
      </c>
      <c r="H4" s="206">
        <v>2</v>
      </c>
      <c r="I4" s="206">
        <f t="shared" ref="I4:I67" si="2">+E4/H4</f>
        <v>1725</v>
      </c>
      <c r="J4" s="206">
        <v>0.75</v>
      </c>
      <c r="K4" s="206">
        <f t="shared" ref="K4:K67" si="3">+J4*E4</f>
        <v>2587.5</v>
      </c>
      <c r="L4" s="206">
        <v>1</v>
      </c>
      <c r="M4" s="206">
        <f t="shared" ref="M4:M67" si="4">+L4*E4</f>
        <v>3450</v>
      </c>
      <c r="N4" s="131">
        <v>345</v>
      </c>
      <c r="O4" s="131">
        <v>345</v>
      </c>
      <c r="P4" s="131">
        <v>345</v>
      </c>
      <c r="Q4" s="57">
        <f t="shared" ref="Q4:Q5" si="5">N4+O4+P4</f>
        <v>1035</v>
      </c>
      <c r="R4" s="59">
        <v>1</v>
      </c>
      <c r="S4" s="55" t="str">
        <f t="shared" si="0"/>
        <v>Nivel del indicador que satisface y supera las expectativas</v>
      </c>
      <c r="T4" s="163">
        <v>230</v>
      </c>
      <c r="U4" s="163">
        <v>230</v>
      </c>
      <c r="V4" s="163">
        <v>230</v>
      </c>
      <c r="W4" s="56">
        <f t="shared" ref="W4:W67" si="6">T4+U4+V4+Q4</f>
        <v>1725</v>
      </c>
      <c r="X4" s="59">
        <f t="shared" ref="X4:X67" si="7">IF(W4&gt;0,W4/I4,"")</f>
        <v>1</v>
      </c>
      <c r="Y4" s="55" t="str">
        <f t="shared" ref="Y4:Y33" si="8">IF(AND(E4&gt;0,W4=0),"¡¡Ojo No se Ejecutaron Actividades!!",IF(X4="","",IF(X4&lt;15.99%,"Se ha avanzado muy poco o nada en este indicador",IF(X4&lt;=36.99%,"Nivel Aceptable del Indicador",IF(X4&lt;=49.99%,"Nivel del indicador que cumple las expectativas","Nivel del indicador que satisface y supera las expectativas")))))</f>
        <v>Nivel del indicador que satisface y supera las expectativas</v>
      </c>
      <c r="Z4" s="57"/>
      <c r="AA4" s="57"/>
      <c r="AB4" s="214">
        <v>864</v>
      </c>
      <c r="AC4" s="56">
        <f t="shared" ref="AC4:AC33" si="9">Z4+AA4+AB4+W4</f>
        <v>2589</v>
      </c>
      <c r="AD4" s="59">
        <v>1</v>
      </c>
      <c r="AE4" s="55" t="str">
        <f t="shared" ref="AE4:AE33" si="10">IF(AND(E4&gt;0,AC4=0),"¡¡Ojo No se Ejecutaron Actividades!!",IF(AD4="","",IF(AD4&lt;24.99%,"Se ha avanzado muy poco o nada en este indicador",IF(AD4&lt;=55.99%,"Nivel Aceptable del Indicador",IF(AD4&lt;=74.99%,"Nivel del indicador que cumple las expectativas","Nivel del indicador que satisface y supera las expectativas")))))</f>
        <v>Nivel del indicador que satisface y supera las expectativas</v>
      </c>
      <c r="AF4" s="57"/>
      <c r="AG4" s="57"/>
      <c r="AH4" s="57"/>
      <c r="AI4" s="56">
        <f t="shared" ref="AI4:AI67" si="11">+AC4</f>
        <v>2589</v>
      </c>
      <c r="AJ4" s="59">
        <f t="shared" ref="AJ4:AJ33" si="12">IFERROR((IF(AI4&gt;0,AI4/E4,"")),0)</f>
        <v>0.75043478260869567</v>
      </c>
      <c r="AK4" s="55" t="str">
        <f t="shared" ref="AK4:AK33" si="13">IF(AND(E4&gt;0,AI4=0),"¡¡Ojo No se Ejecutaron Actividades!!",IF(AJ4="","",IF(AJ4&lt;33.99%,"Se ha avanzado muy poco o nada en este indicador",IF(AJ4&lt;=75.99%,"Nivel Aceptable del Indicador",IF(AJ4&lt;=98.99%,"Nivel del indicador que cumple las expectativas","Nivel del indicador que satisface y supera las expectativas")))))</f>
        <v>Nivel Aceptable del Indicador</v>
      </c>
      <c r="AP4" s="52">
        <f t="shared" ref="AP4:AP33" si="14">E4</f>
        <v>3450</v>
      </c>
      <c r="AQ4" s="52">
        <f t="shared" ref="AQ4:AQ33" si="15">AP4/4</f>
        <v>862.5</v>
      </c>
      <c r="AR4" s="52">
        <f t="shared" ref="AR4:AR33" si="16">Q4</f>
        <v>1035</v>
      </c>
      <c r="AS4" s="79">
        <f t="shared" ref="AS4:AS33" si="17">IFERROR((AR4/AQ4),0)</f>
        <v>1.2</v>
      </c>
      <c r="AT4" s="79">
        <f t="shared" ref="AT4:AT33" si="18">IFERROR((((AR4*25)/AQ4)/100),0)</f>
        <v>0.3</v>
      </c>
      <c r="AU4" s="52">
        <f t="shared" ref="AU4:AU33" si="19">AP4/2</f>
        <v>1725</v>
      </c>
      <c r="AV4" s="77">
        <f t="shared" ref="AV4:AV33" si="20">W4+AT4</f>
        <v>1725.3</v>
      </c>
      <c r="AW4" s="79">
        <f t="shared" ref="AW4:AW33" si="21">IFERROR((AV4/AU4),0)</f>
        <v>1.0001739130434781</v>
      </c>
      <c r="AX4" s="79">
        <f t="shared" ref="AX4:AX33" si="22">IFERROR((((AV4*50)/AU4)/100),0)</f>
        <v>0.50008695652173918</v>
      </c>
      <c r="AY4" s="52">
        <f t="shared" ref="AY4:AY33" si="23">AQ4+AU4</f>
        <v>2587.5</v>
      </c>
      <c r="AZ4" s="77">
        <f t="shared" ref="AZ4:AZ33" si="24">AC4+AV4</f>
        <v>4314.3</v>
      </c>
      <c r="BA4" s="79">
        <f t="shared" ref="BA4:BA33" si="25">IFERROR((AZ4/AY4),0)</f>
        <v>1.6673623188405797</v>
      </c>
      <c r="BB4" s="79">
        <f t="shared" ref="BB4:BB33" si="26">IFERROR((((AZ4*75)/AY4)/100),0)</f>
        <v>1.2505217391304349</v>
      </c>
      <c r="BC4" s="52">
        <f t="shared" ref="BC4:BC33" si="27">AY4+AQ4</f>
        <v>3450</v>
      </c>
      <c r="BD4" s="77">
        <f t="shared" ref="BD4:BD33" si="28">AI4+AZ4</f>
        <v>6903.3</v>
      </c>
      <c r="BE4" s="79">
        <f t="shared" ref="BE4:BE33" si="29">IFERROR((BD4/BC4),0)</f>
        <v>2.0009565217391305</v>
      </c>
      <c r="BF4" s="79">
        <f t="shared" ref="BF4:BF33" si="30">IFERROR((((BD4*100)/BC4)/100),0)</f>
        <v>2.0009565217391305</v>
      </c>
    </row>
    <row r="5" spans="1:60" ht="37.5" customHeight="1" x14ac:dyDescent="0.25">
      <c r="A5" s="293"/>
      <c r="B5" s="57" t="s">
        <v>171</v>
      </c>
      <c r="C5" s="54" t="s">
        <v>190</v>
      </c>
      <c r="D5" s="296"/>
      <c r="E5" s="96">
        <v>3450</v>
      </c>
      <c r="F5" s="206">
        <v>0.25</v>
      </c>
      <c r="G5" s="206">
        <f t="shared" si="1"/>
        <v>862.5</v>
      </c>
      <c r="H5" s="206">
        <v>2</v>
      </c>
      <c r="I5" s="206">
        <f t="shared" si="2"/>
        <v>1725</v>
      </c>
      <c r="J5" s="206">
        <v>0.75</v>
      </c>
      <c r="K5" s="206">
        <f t="shared" si="3"/>
        <v>2587.5</v>
      </c>
      <c r="L5" s="206">
        <v>1</v>
      </c>
      <c r="M5" s="206">
        <f t="shared" si="4"/>
        <v>3450</v>
      </c>
      <c r="N5" s="131">
        <v>345</v>
      </c>
      <c r="O5" s="131">
        <v>345</v>
      </c>
      <c r="P5" s="131">
        <v>345</v>
      </c>
      <c r="Q5" s="57">
        <f t="shared" si="5"/>
        <v>1035</v>
      </c>
      <c r="R5" s="59">
        <v>1</v>
      </c>
      <c r="S5" s="55" t="str">
        <f t="shared" si="0"/>
        <v>Nivel del indicador que satisface y supera las expectativas</v>
      </c>
      <c r="T5" s="163">
        <v>230</v>
      </c>
      <c r="U5" s="163">
        <v>230</v>
      </c>
      <c r="V5" s="163">
        <v>230</v>
      </c>
      <c r="W5" s="56">
        <f t="shared" si="6"/>
        <v>1725</v>
      </c>
      <c r="X5" s="59">
        <f t="shared" si="7"/>
        <v>1</v>
      </c>
      <c r="Y5" s="55" t="str">
        <f t="shared" si="8"/>
        <v>Nivel del indicador que satisface y supera las expectativas</v>
      </c>
      <c r="Z5" s="57"/>
      <c r="AA5" s="57"/>
      <c r="AB5" s="214">
        <v>864</v>
      </c>
      <c r="AC5" s="56">
        <f t="shared" si="9"/>
        <v>2589</v>
      </c>
      <c r="AD5" s="59">
        <v>1</v>
      </c>
      <c r="AE5" s="55" t="str">
        <f t="shared" si="10"/>
        <v>Nivel del indicador que satisface y supera las expectativas</v>
      </c>
      <c r="AF5" s="57"/>
      <c r="AG5" s="57"/>
      <c r="AH5" s="57"/>
      <c r="AI5" s="56">
        <f t="shared" si="11"/>
        <v>2589</v>
      </c>
      <c r="AJ5" s="59">
        <f t="shared" si="12"/>
        <v>0.75043478260869567</v>
      </c>
      <c r="AK5" s="55" t="str">
        <f t="shared" si="13"/>
        <v>Nivel Aceptable del Indicador</v>
      </c>
      <c r="AP5" s="52">
        <f t="shared" si="14"/>
        <v>3450</v>
      </c>
      <c r="AQ5" s="52">
        <f t="shared" si="15"/>
        <v>862.5</v>
      </c>
      <c r="AR5" s="52">
        <f t="shared" si="16"/>
        <v>1035</v>
      </c>
      <c r="AS5" s="79">
        <f t="shared" si="17"/>
        <v>1.2</v>
      </c>
      <c r="AT5" s="79">
        <f t="shared" si="18"/>
        <v>0.3</v>
      </c>
      <c r="AU5" s="52">
        <f t="shared" si="19"/>
        <v>1725</v>
      </c>
      <c r="AV5" s="77">
        <f t="shared" si="20"/>
        <v>1725.3</v>
      </c>
      <c r="AW5" s="79">
        <f t="shared" si="21"/>
        <v>1.0001739130434781</v>
      </c>
      <c r="AX5" s="79">
        <f t="shared" si="22"/>
        <v>0.50008695652173918</v>
      </c>
      <c r="AY5" s="52">
        <f t="shared" si="23"/>
        <v>2587.5</v>
      </c>
      <c r="AZ5" s="77">
        <f t="shared" si="24"/>
        <v>4314.3</v>
      </c>
      <c r="BA5" s="79">
        <f t="shared" si="25"/>
        <v>1.6673623188405797</v>
      </c>
      <c r="BB5" s="79">
        <f t="shared" si="26"/>
        <v>1.2505217391304349</v>
      </c>
      <c r="BC5" s="52">
        <f t="shared" si="27"/>
        <v>3450</v>
      </c>
      <c r="BD5" s="77">
        <f t="shared" si="28"/>
        <v>6903.3</v>
      </c>
      <c r="BE5" s="79">
        <f t="shared" si="29"/>
        <v>2.0009565217391305</v>
      </c>
      <c r="BF5" s="79">
        <f t="shared" si="30"/>
        <v>2.0009565217391305</v>
      </c>
    </row>
    <row r="6" spans="1:60" ht="75" x14ac:dyDescent="0.25">
      <c r="A6" s="293"/>
      <c r="B6" s="57" t="s">
        <v>174</v>
      </c>
      <c r="C6" s="54" t="s">
        <v>176</v>
      </c>
      <c r="D6" s="96" t="s">
        <v>575</v>
      </c>
      <c r="E6" s="96">
        <v>1</v>
      </c>
      <c r="F6" s="206">
        <v>0.25</v>
      </c>
      <c r="G6" s="206">
        <f t="shared" si="1"/>
        <v>0.25</v>
      </c>
      <c r="H6" s="206">
        <v>2</v>
      </c>
      <c r="I6" s="206">
        <f t="shared" si="2"/>
        <v>0.5</v>
      </c>
      <c r="J6" s="206">
        <v>0.75</v>
      </c>
      <c r="K6" s="206">
        <f t="shared" si="3"/>
        <v>0.75</v>
      </c>
      <c r="L6" s="206">
        <v>1</v>
      </c>
      <c r="M6" s="206">
        <f t="shared" si="4"/>
        <v>1</v>
      </c>
      <c r="N6" s="131">
        <v>0</v>
      </c>
      <c r="O6" s="131">
        <v>0.25</v>
      </c>
      <c r="P6" s="131">
        <v>0</v>
      </c>
      <c r="Q6" s="57">
        <f t="shared" ref="Q6:Q33" si="31">N6+O6+P6</f>
        <v>0.25</v>
      </c>
      <c r="R6" s="59">
        <f t="shared" ref="R6:R67" si="32">IF(Q6&gt;0,Q6/G6,"")</f>
        <v>1</v>
      </c>
      <c r="S6" s="55" t="str">
        <f t="shared" si="0"/>
        <v>Nivel del indicador que satisface y supera las expectativas</v>
      </c>
      <c r="T6" s="163">
        <v>0.25</v>
      </c>
      <c r="U6" s="163"/>
      <c r="V6" s="163"/>
      <c r="W6" s="56">
        <f t="shared" si="6"/>
        <v>0.5</v>
      </c>
      <c r="X6" s="59">
        <f t="shared" si="7"/>
        <v>1</v>
      </c>
      <c r="Y6" s="55" t="str">
        <f t="shared" si="8"/>
        <v>Nivel del indicador que satisface y supera las expectativas</v>
      </c>
      <c r="Z6" s="57"/>
      <c r="AA6" s="57"/>
      <c r="AB6" s="214">
        <v>0.25</v>
      </c>
      <c r="AC6" s="56">
        <f t="shared" si="9"/>
        <v>0.75</v>
      </c>
      <c r="AD6" s="59">
        <v>1</v>
      </c>
      <c r="AE6" s="55" t="str">
        <f t="shared" si="10"/>
        <v>Nivel del indicador que satisface y supera las expectativas</v>
      </c>
      <c r="AF6" s="57"/>
      <c r="AG6" s="57"/>
      <c r="AH6" s="57"/>
      <c r="AI6" s="243">
        <v>0</v>
      </c>
      <c r="AJ6" s="59" t="str">
        <f t="shared" si="12"/>
        <v/>
      </c>
      <c r="AK6" s="55" t="str">
        <f>IF(AND(AI6&gt;0,AI6=0),"MALO",IF(AI6="","",IF(AI6&lt;0.33,"MALO",IF(AI6&lt;=0.76,"BUENO",IF(AI6&lt;=1,"SUPER")))))</f>
        <v>MALO</v>
      </c>
      <c r="AP6" s="52">
        <f t="shared" si="14"/>
        <v>1</v>
      </c>
      <c r="AQ6" s="52">
        <f t="shared" si="15"/>
        <v>0.25</v>
      </c>
      <c r="AR6" s="52">
        <f t="shared" si="16"/>
        <v>0.25</v>
      </c>
      <c r="AS6" s="79">
        <f t="shared" si="17"/>
        <v>1</v>
      </c>
      <c r="AT6" s="79">
        <f t="shared" si="18"/>
        <v>0.25</v>
      </c>
      <c r="AU6" s="52">
        <f t="shared" si="19"/>
        <v>0.5</v>
      </c>
      <c r="AV6" s="77">
        <f t="shared" si="20"/>
        <v>0.75</v>
      </c>
      <c r="AW6" s="79">
        <f t="shared" si="21"/>
        <v>1.5</v>
      </c>
      <c r="AX6" s="79">
        <f t="shared" si="22"/>
        <v>0.75</v>
      </c>
      <c r="AY6" s="52">
        <f t="shared" si="23"/>
        <v>0.75</v>
      </c>
      <c r="AZ6" s="77">
        <f t="shared" si="24"/>
        <v>1.5</v>
      </c>
      <c r="BA6" s="79">
        <f t="shared" si="25"/>
        <v>2</v>
      </c>
      <c r="BB6" s="79">
        <f t="shared" si="26"/>
        <v>1.5</v>
      </c>
      <c r="BC6" s="52">
        <f t="shared" si="27"/>
        <v>1</v>
      </c>
      <c r="BD6" s="77">
        <f t="shared" si="28"/>
        <v>1.5</v>
      </c>
      <c r="BE6" s="79">
        <f t="shared" si="29"/>
        <v>1.5</v>
      </c>
      <c r="BF6" s="79">
        <f t="shared" si="30"/>
        <v>1.5</v>
      </c>
    </row>
    <row r="7" spans="1:60" ht="30" x14ac:dyDescent="0.25">
      <c r="A7" s="294"/>
      <c r="B7" s="57" t="s">
        <v>175</v>
      </c>
      <c r="C7" s="54" t="s">
        <v>177</v>
      </c>
      <c r="D7" s="96" t="s">
        <v>576</v>
      </c>
      <c r="E7" s="96">
        <v>1</v>
      </c>
      <c r="F7" s="206">
        <v>0.25</v>
      </c>
      <c r="G7" s="206">
        <f t="shared" si="1"/>
        <v>0.25</v>
      </c>
      <c r="H7" s="206">
        <v>2</v>
      </c>
      <c r="I7" s="206">
        <f t="shared" si="2"/>
        <v>0.5</v>
      </c>
      <c r="J7" s="206">
        <v>0.75</v>
      </c>
      <c r="K7" s="206">
        <f t="shared" si="3"/>
        <v>0.75</v>
      </c>
      <c r="L7" s="206">
        <v>1</v>
      </c>
      <c r="M7" s="206">
        <f t="shared" si="4"/>
        <v>1</v>
      </c>
      <c r="N7" s="131">
        <v>0</v>
      </c>
      <c r="O7" s="131">
        <v>0</v>
      </c>
      <c r="P7" s="131">
        <v>0.25</v>
      </c>
      <c r="Q7" s="57">
        <f t="shared" si="31"/>
        <v>0.25</v>
      </c>
      <c r="R7" s="59">
        <f t="shared" si="32"/>
        <v>1</v>
      </c>
      <c r="S7" s="55" t="str">
        <f t="shared" ref="S7:S13" si="33">IF(AND(E7&gt;0,Q7=0),"¡¡Ojo No se Ejecutaron Actividades!!",IF(R7="","",IF(R7&lt;8.99%,"Se ha avanzado muy poco o nada en este indicador",IF(R7&lt;=19.99%,"Nivel Aceptable del Indicador",IF(R7&lt;=24.99%,"Nivel del indicador que cumple las expectativas","Nivel del indicador que satisface y supera las expectativas")))))</f>
        <v>Nivel del indicador que satisface y supera las expectativas</v>
      </c>
      <c r="T7" s="163">
        <v>0.25</v>
      </c>
      <c r="U7" s="163"/>
      <c r="V7" s="163"/>
      <c r="W7" s="56">
        <f t="shared" si="6"/>
        <v>0.5</v>
      </c>
      <c r="X7" s="59">
        <f t="shared" si="7"/>
        <v>1</v>
      </c>
      <c r="Y7" s="55" t="str">
        <f t="shared" si="8"/>
        <v>Nivel del indicador que satisface y supera las expectativas</v>
      </c>
      <c r="Z7" s="57"/>
      <c r="AA7" s="57"/>
      <c r="AB7" s="214">
        <v>0.25</v>
      </c>
      <c r="AC7" s="56">
        <f t="shared" si="9"/>
        <v>0.75</v>
      </c>
      <c r="AD7" s="59">
        <v>1</v>
      </c>
      <c r="AE7" s="55" t="str">
        <f t="shared" si="10"/>
        <v>Nivel del indicador que satisface y supera las expectativas</v>
      </c>
      <c r="AF7" s="57"/>
      <c r="AG7" s="57"/>
      <c r="AH7" s="57"/>
      <c r="AI7" s="56">
        <f t="shared" si="11"/>
        <v>0.75</v>
      </c>
      <c r="AJ7" s="59">
        <f t="shared" si="12"/>
        <v>0.75</v>
      </c>
      <c r="AK7" s="55" t="str">
        <f t="shared" si="13"/>
        <v>Nivel Aceptable del Indicador</v>
      </c>
      <c r="AP7" s="52">
        <f t="shared" si="14"/>
        <v>1</v>
      </c>
      <c r="AQ7" s="52">
        <f t="shared" si="15"/>
        <v>0.25</v>
      </c>
      <c r="AR7" s="52">
        <f t="shared" si="16"/>
        <v>0.25</v>
      </c>
      <c r="AS7" s="79">
        <f t="shared" si="17"/>
        <v>1</v>
      </c>
      <c r="AT7" s="79">
        <f t="shared" si="18"/>
        <v>0.25</v>
      </c>
      <c r="AU7" s="52">
        <f t="shared" si="19"/>
        <v>0.5</v>
      </c>
      <c r="AV7" s="77">
        <f t="shared" si="20"/>
        <v>0.75</v>
      </c>
      <c r="AW7" s="79">
        <f t="shared" si="21"/>
        <v>1.5</v>
      </c>
      <c r="AX7" s="79">
        <f t="shared" si="22"/>
        <v>0.75</v>
      </c>
      <c r="AY7" s="52">
        <f t="shared" si="23"/>
        <v>0.75</v>
      </c>
      <c r="AZ7" s="77">
        <f t="shared" si="24"/>
        <v>1.5</v>
      </c>
      <c r="BA7" s="79">
        <f t="shared" si="25"/>
        <v>2</v>
      </c>
      <c r="BB7" s="79">
        <f t="shared" si="26"/>
        <v>1.5</v>
      </c>
      <c r="BC7" s="52">
        <f t="shared" si="27"/>
        <v>1</v>
      </c>
      <c r="BD7" s="77">
        <f t="shared" si="28"/>
        <v>2.25</v>
      </c>
      <c r="BE7" s="79">
        <f t="shared" si="29"/>
        <v>2.25</v>
      </c>
      <c r="BF7" s="79">
        <f t="shared" si="30"/>
        <v>2.25</v>
      </c>
    </row>
    <row r="8" spans="1:60" ht="30" x14ac:dyDescent="0.25">
      <c r="A8" s="292" t="s">
        <v>184</v>
      </c>
      <c r="B8" s="57" t="s">
        <v>178</v>
      </c>
      <c r="C8" s="54" t="s">
        <v>185</v>
      </c>
      <c r="D8" s="96" t="s">
        <v>577</v>
      </c>
      <c r="E8" s="96">
        <v>3</v>
      </c>
      <c r="F8" s="206">
        <v>0.25</v>
      </c>
      <c r="G8" s="206">
        <f t="shared" si="1"/>
        <v>0.75</v>
      </c>
      <c r="H8" s="206">
        <v>2</v>
      </c>
      <c r="I8" s="206">
        <f t="shared" si="2"/>
        <v>1.5</v>
      </c>
      <c r="J8" s="206">
        <v>0.75</v>
      </c>
      <c r="K8" s="206">
        <f t="shared" si="3"/>
        <v>2.25</v>
      </c>
      <c r="L8" s="206">
        <v>1</v>
      </c>
      <c r="M8" s="206">
        <f t="shared" si="4"/>
        <v>3</v>
      </c>
      <c r="N8" s="131"/>
      <c r="O8" s="131">
        <v>0.75</v>
      </c>
      <c r="P8" s="131">
        <v>0</v>
      </c>
      <c r="Q8" s="57">
        <f t="shared" si="31"/>
        <v>0.75</v>
      </c>
      <c r="R8" s="59">
        <f t="shared" si="32"/>
        <v>1</v>
      </c>
      <c r="S8" s="55" t="str">
        <f t="shared" si="33"/>
        <v>Nivel del indicador que satisface y supera las expectativas</v>
      </c>
      <c r="T8" s="163">
        <v>0.75</v>
      </c>
      <c r="U8" s="163"/>
      <c r="V8" s="163"/>
      <c r="W8" s="209">
        <f t="shared" si="6"/>
        <v>1.5</v>
      </c>
      <c r="X8" s="59">
        <f t="shared" si="7"/>
        <v>1</v>
      </c>
      <c r="Y8" s="55" t="str">
        <f t="shared" si="8"/>
        <v>Nivel del indicador que satisface y supera las expectativas</v>
      </c>
      <c r="Z8" s="57"/>
      <c r="AA8" s="57"/>
      <c r="AB8" s="214">
        <v>0.75</v>
      </c>
      <c r="AC8" s="56">
        <f t="shared" si="9"/>
        <v>2.25</v>
      </c>
      <c r="AD8" s="59">
        <f t="shared" ref="AD8:AD59" si="34">IFERROR((IF(AC8&gt;0,AC8/K8,"")),0)</f>
        <v>1</v>
      </c>
      <c r="AE8" s="55" t="str">
        <f t="shared" si="10"/>
        <v>Nivel del indicador que satisface y supera las expectativas</v>
      </c>
      <c r="AF8" s="57"/>
      <c r="AG8" s="57"/>
      <c r="AH8" s="57"/>
      <c r="AI8" s="56">
        <f t="shared" si="11"/>
        <v>2.25</v>
      </c>
      <c r="AJ8" s="59">
        <f t="shared" si="12"/>
        <v>0.75</v>
      </c>
      <c r="AK8" s="55" t="str">
        <f t="shared" si="13"/>
        <v>Nivel Aceptable del Indicador</v>
      </c>
      <c r="AP8" s="52">
        <f t="shared" si="14"/>
        <v>3</v>
      </c>
      <c r="AQ8" s="52">
        <f t="shared" si="15"/>
        <v>0.75</v>
      </c>
      <c r="AR8" s="52">
        <f t="shared" si="16"/>
        <v>0.75</v>
      </c>
      <c r="AS8" s="79">
        <f t="shared" si="17"/>
        <v>1</v>
      </c>
      <c r="AT8" s="79">
        <f t="shared" si="18"/>
        <v>0.25</v>
      </c>
      <c r="AU8" s="52">
        <f t="shared" si="19"/>
        <v>1.5</v>
      </c>
      <c r="AV8" s="77">
        <f t="shared" si="20"/>
        <v>1.75</v>
      </c>
      <c r="AW8" s="79">
        <f t="shared" si="21"/>
        <v>1.1666666666666667</v>
      </c>
      <c r="AX8" s="79">
        <f t="shared" si="22"/>
        <v>0.58333333333333337</v>
      </c>
      <c r="AY8" s="52">
        <f t="shared" si="23"/>
        <v>2.25</v>
      </c>
      <c r="AZ8" s="77">
        <f t="shared" si="24"/>
        <v>4</v>
      </c>
      <c r="BA8" s="79">
        <f t="shared" si="25"/>
        <v>1.7777777777777777</v>
      </c>
      <c r="BB8" s="79">
        <f t="shared" si="26"/>
        <v>1.3333333333333335</v>
      </c>
      <c r="BC8" s="52">
        <f t="shared" si="27"/>
        <v>3</v>
      </c>
      <c r="BD8" s="77">
        <f t="shared" si="28"/>
        <v>6.25</v>
      </c>
      <c r="BE8" s="79">
        <f t="shared" si="29"/>
        <v>2.0833333333333335</v>
      </c>
      <c r="BF8" s="79">
        <f t="shared" si="30"/>
        <v>2.0833333333333335</v>
      </c>
    </row>
    <row r="9" spans="1:60" ht="15" customHeight="1" x14ac:dyDescent="0.25">
      <c r="A9" s="293"/>
      <c r="B9" s="57" t="s">
        <v>179</v>
      </c>
      <c r="C9" s="54" t="s">
        <v>186</v>
      </c>
      <c r="D9" s="96" t="s">
        <v>578</v>
      </c>
      <c r="E9" s="96">
        <v>0</v>
      </c>
      <c r="F9" s="206">
        <v>0.25</v>
      </c>
      <c r="G9" s="206">
        <f t="shared" si="1"/>
        <v>0</v>
      </c>
      <c r="H9" s="206">
        <v>2</v>
      </c>
      <c r="I9" s="206">
        <f t="shared" si="2"/>
        <v>0</v>
      </c>
      <c r="J9" s="206">
        <v>0.75</v>
      </c>
      <c r="K9" s="206">
        <f t="shared" si="3"/>
        <v>0</v>
      </c>
      <c r="L9" s="206">
        <v>1</v>
      </c>
      <c r="M9" s="206">
        <f t="shared" si="4"/>
        <v>0</v>
      </c>
      <c r="N9" s="131">
        <v>0</v>
      </c>
      <c r="O9" s="131">
        <v>0</v>
      </c>
      <c r="P9" s="131">
        <v>0</v>
      </c>
      <c r="Q9" s="57">
        <f t="shared" si="31"/>
        <v>0</v>
      </c>
      <c r="R9" s="59" t="str">
        <f t="shared" si="32"/>
        <v/>
      </c>
      <c r="S9" s="55" t="str">
        <f t="shared" si="33"/>
        <v/>
      </c>
      <c r="T9" s="163"/>
      <c r="U9" s="163"/>
      <c r="V9" s="163"/>
      <c r="W9" s="56">
        <f t="shared" si="6"/>
        <v>0</v>
      </c>
      <c r="X9" s="59" t="str">
        <f t="shared" si="7"/>
        <v/>
      </c>
      <c r="Y9" s="55" t="str">
        <f t="shared" si="8"/>
        <v/>
      </c>
      <c r="Z9" s="57"/>
      <c r="AA9" s="57"/>
      <c r="AB9" s="214">
        <v>0</v>
      </c>
      <c r="AC9" s="56">
        <f t="shared" si="9"/>
        <v>0</v>
      </c>
      <c r="AD9" s="59" t="str">
        <f t="shared" si="34"/>
        <v/>
      </c>
      <c r="AE9" s="55" t="str">
        <f t="shared" si="10"/>
        <v/>
      </c>
      <c r="AF9" s="57"/>
      <c r="AG9" s="57"/>
      <c r="AH9" s="57"/>
      <c r="AI9" s="56">
        <f t="shared" si="11"/>
        <v>0</v>
      </c>
      <c r="AJ9" s="59" t="str">
        <f t="shared" si="12"/>
        <v/>
      </c>
      <c r="AK9" s="55" t="str">
        <f t="shared" si="13"/>
        <v/>
      </c>
      <c r="AP9" s="52">
        <f t="shared" si="14"/>
        <v>0</v>
      </c>
      <c r="AQ9" s="52">
        <f t="shared" si="15"/>
        <v>0</v>
      </c>
      <c r="AR9" s="52">
        <f t="shared" si="16"/>
        <v>0</v>
      </c>
      <c r="AS9" s="79">
        <f t="shared" si="17"/>
        <v>0</v>
      </c>
      <c r="AT9" s="79">
        <f t="shared" si="18"/>
        <v>0</v>
      </c>
      <c r="AU9" s="52">
        <f t="shared" si="19"/>
        <v>0</v>
      </c>
      <c r="AV9" s="77">
        <f t="shared" si="20"/>
        <v>0</v>
      </c>
      <c r="AW9" s="79">
        <f t="shared" si="21"/>
        <v>0</v>
      </c>
      <c r="AX9" s="79">
        <f t="shared" si="22"/>
        <v>0</v>
      </c>
      <c r="AY9" s="52">
        <f t="shared" si="23"/>
        <v>0</v>
      </c>
      <c r="AZ9" s="77">
        <f t="shared" si="24"/>
        <v>0</v>
      </c>
      <c r="BA9" s="79">
        <f t="shared" si="25"/>
        <v>0</v>
      </c>
      <c r="BB9" s="79">
        <f t="shared" si="26"/>
        <v>0</v>
      </c>
      <c r="BC9" s="52">
        <f t="shared" si="27"/>
        <v>0</v>
      </c>
      <c r="BD9" s="77">
        <f t="shared" si="28"/>
        <v>0</v>
      </c>
      <c r="BE9" s="79">
        <f t="shared" si="29"/>
        <v>0</v>
      </c>
      <c r="BF9" s="79">
        <f t="shared" si="30"/>
        <v>0</v>
      </c>
    </row>
    <row r="10" spans="1:60" ht="15" customHeight="1" x14ac:dyDescent="0.25">
      <c r="A10" s="293"/>
      <c r="B10" s="57" t="s">
        <v>180</v>
      </c>
      <c r="C10" s="54" t="s">
        <v>187</v>
      </c>
      <c r="D10" s="96" t="s">
        <v>578</v>
      </c>
      <c r="E10" s="96">
        <v>0</v>
      </c>
      <c r="F10" s="206">
        <v>0.25</v>
      </c>
      <c r="G10" s="206">
        <f t="shared" si="1"/>
        <v>0</v>
      </c>
      <c r="H10" s="206">
        <v>2</v>
      </c>
      <c r="I10" s="206">
        <f t="shared" si="2"/>
        <v>0</v>
      </c>
      <c r="J10" s="206">
        <v>0.75</v>
      </c>
      <c r="K10" s="206">
        <f t="shared" si="3"/>
        <v>0</v>
      </c>
      <c r="L10" s="206">
        <v>1</v>
      </c>
      <c r="M10" s="206">
        <f t="shared" si="4"/>
        <v>0</v>
      </c>
      <c r="N10" s="131">
        <v>0</v>
      </c>
      <c r="O10" s="131">
        <v>0</v>
      </c>
      <c r="P10" s="131">
        <v>0</v>
      </c>
      <c r="Q10" s="57">
        <f t="shared" si="31"/>
        <v>0</v>
      </c>
      <c r="R10" s="59" t="str">
        <f t="shared" si="32"/>
        <v/>
      </c>
      <c r="S10" s="55" t="str">
        <f t="shared" si="33"/>
        <v/>
      </c>
      <c r="T10" s="163"/>
      <c r="U10" s="163"/>
      <c r="V10" s="163"/>
      <c r="W10" s="56">
        <f t="shared" si="6"/>
        <v>0</v>
      </c>
      <c r="X10" s="59" t="str">
        <f t="shared" si="7"/>
        <v/>
      </c>
      <c r="Y10" s="55" t="str">
        <f t="shared" si="8"/>
        <v/>
      </c>
      <c r="Z10" s="57"/>
      <c r="AA10" s="57"/>
      <c r="AB10" s="214">
        <v>0</v>
      </c>
      <c r="AC10" s="56">
        <f t="shared" si="9"/>
        <v>0</v>
      </c>
      <c r="AD10" s="59" t="str">
        <f t="shared" si="34"/>
        <v/>
      </c>
      <c r="AE10" s="55" t="str">
        <f t="shared" si="10"/>
        <v/>
      </c>
      <c r="AF10" s="57"/>
      <c r="AG10" s="57"/>
      <c r="AH10" s="57"/>
      <c r="AI10" s="56">
        <f t="shared" si="11"/>
        <v>0</v>
      </c>
      <c r="AJ10" s="59" t="str">
        <f t="shared" si="12"/>
        <v/>
      </c>
      <c r="AK10" s="55" t="str">
        <f t="shared" si="13"/>
        <v/>
      </c>
      <c r="AP10" s="52">
        <f t="shared" si="14"/>
        <v>0</v>
      </c>
      <c r="AQ10" s="52">
        <f t="shared" si="15"/>
        <v>0</v>
      </c>
      <c r="AR10" s="52">
        <f t="shared" si="16"/>
        <v>0</v>
      </c>
      <c r="AS10" s="79">
        <f t="shared" si="17"/>
        <v>0</v>
      </c>
      <c r="AT10" s="79">
        <f t="shared" si="18"/>
        <v>0</v>
      </c>
      <c r="AU10" s="52">
        <f t="shared" si="19"/>
        <v>0</v>
      </c>
      <c r="AV10" s="77">
        <f t="shared" si="20"/>
        <v>0</v>
      </c>
      <c r="AW10" s="79">
        <f t="shared" si="21"/>
        <v>0</v>
      </c>
      <c r="AX10" s="79">
        <f t="shared" si="22"/>
        <v>0</v>
      </c>
      <c r="AY10" s="52">
        <f t="shared" si="23"/>
        <v>0</v>
      </c>
      <c r="AZ10" s="77">
        <f t="shared" si="24"/>
        <v>0</v>
      </c>
      <c r="BA10" s="79">
        <f t="shared" si="25"/>
        <v>0</v>
      </c>
      <c r="BB10" s="79">
        <f t="shared" si="26"/>
        <v>0</v>
      </c>
      <c r="BC10" s="52">
        <f t="shared" si="27"/>
        <v>0</v>
      </c>
      <c r="BD10" s="77">
        <f t="shared" si="28"/>
        <v>0</v>
      </c>
      <c r="BE10" s="79">
        <f t="shared" si="29"/>
        <v>0</v>
      </c>
      <c r="BF10" s="79">
        <f t="shared" si="30"/>
        <v>0</v>
      </c>
    </row>
    <row r="11" spans="1:60" ht="15" customHeight="1" x14ac:dyDescent="0.25">
      <c r="A11" s="293"/>
      <c r="B11" s="57" t="s">
        <v>181</v>
      </c>
      <c r="C11" s="54" t="s">
        <v>188</v>
      </c>
      <c r="D11" s="96" t="s">
        <v>578</v>
      </c>
      <c r="E11" s="96">
        <v>0</v>
      </c>
      <c r="F11" s="206">
        <v>0.25</v>
      </c>
      <c r="G11" s="206">
        <f t="shared" si="1"/>
        <v>0</v>
      </c>
      <c r="H11" s="206">
        <v>2</v>
      </c>
      <c r="I11" s="206">
        <f t="shared" si="2"/>
        <v>0</v>
      </c>
      <c r="J11" s="206">
        <v>0.75</v>
      </c>
      <c r="K11" s="206">
        <f t="shared" si="3"/>
        <v>0</v>
      </c>
      <c r="L11" s="206">
        <v>1</v>
      </c>
      <c r="M11" s="206">
        <f t="shared" si="4"/>
        <v>0</v>
      </c>
      <c r="N11" s="131">
        <v>0</v>
      </c>
      <c r="O11" s="131">
        <v>0</v>
      </c>
      <c r="P11" s="131">
        <v>0</v>
      </c>
      <c r="Q11" s="57">
        <f t="shared" si="31"/>
        <v>0</v>
      </c>
      <c r="R11" s="59" t="str">
        <f t="shared" si="32"/>
        <v/>
      </c>
      <c r="S11" s="55" t="str">
        <f t="shared" si="33"/>
        <v/>
      </c>
      <c r="T11" s="163"/>
      <c r="U11" s="163"/>
      <c r="V11" s="163"/>
      <c r="W11" s="56">
        <f t="shared" si="6"/>
        <v>0</v>
      </c>
      <c r="X11" s="59" t="str">
        <f t="shared" si="7"/>
        <v/>
      </c>
      <c r="Y11" s="55" t="str">
        <f t="shared" si="8"/>
        <v/>
      </c>
      <c r="Z11" s="57"/>
      <c r="AA11" s="57"/>
      <c r="AB11" s="214">
        <v>0</v>
      </c>
      <c r="AC11" s="56">
        <f t="shared" si="9"/>
        <v>0</v>
      </c>
      <c r="AD11" s="59" t="str">
        <f t="shared" si="34"/>
        <v/>
      </c>
      <c r="AE11" s="55" t="str">
        <f t="shared" si="10"/>
        <v/>
      </c>
      <c r="AF11" s="57"/>
      <c r="AG11" s="57"/>
      <c r="AH11" s="57"/>
      <c r="AI11" s="56">
        <f t="shared" si="11"/>
        <v>0</v>
      </c>
      <c r="AJ11" s="59" t="str">
        <f t="shared" si="12"/>
        <v/>
      </c>
      <c r="AK11" s="55" t="str">
        <f t="shared" si="13"/>
        <v/>
      </c>
      <c r="AP11" s="52">
        <f t="shared" si="14"/>
        <v>0</v>
      </c>
      <c r="AQ11" s="52">
        <f t="shared" si="15"/>
        <v>0</v>
      </c>
      <c r="AR11" s="52">
        <f t="shared" si="16"/>
        <v>0</v>
      </c>
      <c r="AS11" s="79">
        <f t="shared" si="17"/>
        <v>0</v>
      </c>
      <c r="AT11" s="79">
        <f t="shared" si="18"/>
        <v>0</v>
      </c>
      <c r="AU11" s="52">
        <f t="shared" si="19"/>
        <v>0</v>
      </c>
      <c r="AV11" s="77">
        <f t="shared" si="20"/>
        <v>0</v>
      </c>
      <c r="AW11" s="79">
        <f t="shared" si="21"/>
        <v>0</v>
      </c>
      <c r="AX11" s="79">
        <f t="shared" si="22"/>
        <v>0</v>
      </c>
      <c r="AY11" s="52">
        <f t="shared" si="23"/>
        <v>0</v>
      </c>
      <c r="AZ11" s="77">
        <f t="shared" si="24"/>
        <v>0</v>
      </c>
      <c r="BA11" s="79">
        <f t="shared" si="25"/>
        <v>0</v>
      </c>
      <c r="BB11" s="79">
        <f t="shared" si="26"/>
        <v>0</v>
      </c>
      <c r="BC11" s="52">
        <f t="shared" si="27"/>
        <v>0</v>
      </c>
      <c r="BD11" s="77">
        <f t="shared" si="28"/>
        <v>0</v>
      </c>
      <c r="BE11" s="79">
        <f t="shared" si="29"/>
        <v>0</v>
      </c>
      <c r="BF11" s="79">
        <f t="shared" si="30"/>
        <v>0</v>
      </c>
    </row>
    <row r="12" spans="1:60" ht="15" customHeight="1" x14ac:dyDescent="0.25">
      <c r="A12" s="294"/>
      <c r="B12" s="57" t="s">
        <v>182</v>
      </c>
      <c r="C12" s="54" t="s">
        <v>189</v>
      </c>
      <c r="D12" s="96" t="s">
        <v>578</v>
      </c>
      <c r="E12" s="96">
        <v>0</v>
      </c>
      <c r="F12" s="206">
        <v>0.25</v>
      </c>
      <c r="G12" s="206">
        <f t="shared" si="1"/>
        <v>0</v>
      </c>
      <c r="H12" s="206">
        <v>2</v>
      </c>
      <c r="I12" s="206">
        <f t="shared" si="2"/>
        <v>0</v>
      </c>
      <c r="J12" s="206">
        <v>0.75</v>
      </c>
      <c r="K12" s="206">
        <f t="shared" si="3"/>
        <v>0</v>
      </c>
      <c r="L12" s="206">
        <v>1</v>
      </c>
      <c r="M12" s="206">
        <f t="shared" si="4"/>
        <v>0</v>
      </c>
      <c r="N12" s="131">
        <v>0</v>
      </c>
      <c r="O12" s="131">
        <v>0</v>
      </c>
      <c r="P12" s="131">
        <v>0</v>
      </c>
      <c r="Q12" s="57">
        <f t="shared" si="31"/>
        <v>0</v>
      </c>
      <c r="R12" s="59" t="str">
        <f t="shared" si="32"/>
        <v/>
      </c>
      <c r="S12" s="55" t="str">
        <f t="shared" si="33"/>
        <v/>
      </c>
      <c r="T12" s="163"/>
      <c r="U12" s="163"/>
      <c r="V12" s="163"/>
      <c r="W12" s="56">
        <f t="shared" si="6"/>
        <v>0</v>
      </c>
      <c r="X12" s="59" t="str">
        <f t="shared" si="7"/>
        <v/>
      </c>
      <c r="Y12" s="55" t="str">
        <f t="shared" si="8"/>
        <v/>
      </c>
      <c r="Z12" s="57"/>
      <c r="AA12" s="57"/>
      <c r="AB12" s="214">
        <v>0</v>
      </c>
      <c r="AC12" s="56">
        <f t="shared" si="9"/>
        <v>0</v>
      </c>
      <c r="AD12" s="59" t="str">
        <f t="shared" si="34"/>
        <v/>
      </c>
      <c r="AE12" s="55" t="str">
        <f t="shared" si="10"/>
        <v/>
      </c>
      <c r="AF12" s="57"/>
      <c r="AG12" s="57"/>
      <c r="AH12" s="57"/>
      <c r="AI12" s="56">
        <f t="shared" si="11"/>
        <v>0</v>
      </c>
      <c r="AJ12" s="59" t="str">
        <f t="shared" si="12"/>
        <v/>
      </c>
      <c r="AK12" s="55" t="str">
        <f t="shared" si="13"/>
        <v/>
      </c>
      <c r="AP12" s="52">
        <f t="shared" si="14"/>
        <v>0</v>
      </c>
      <c r="AQ12" s="52">
        <f t="shared" si="15"/>
        <v>0</v>
      </c>
      <c r="AR12" s="52">
        <f t="shared" si="16"/>
        <v>0</v>
      </c>
      <c r="AS12" s="79">
        <f t="shared" si="17"/>
        <v>0</v>
      </c>
      <c r="AT12" s="79">
        <f t="shared" si="18"/>
        <v>0</v>
      </c>
      <c r="AU12" s="52">
        <f t="shared" si="19"/>
        <v>0</v>
      </c>
      <c r="AV12" s="77">
        <f t="shared" si="20"/>
        <v>0</v>
      </c>
      <c r="AW12" s="79">
        <f t="shared" si="21"/>
        <v>0</v>
      </c>
      <c r="AX12" s="79">
        <f t="shared" si="22"/>
        <v>0</v>
      </c>
      <c r="AY12" s="52">
        <f t="shared" si="23"/>
        <v>0</v>
      </c>
      <c r="AZ12" s="77">
        <f t="shared" si="24"/>
        <v>0</v>
      </c>
      <c r="BA12" s="79">
        <f t="shared" si="25"/>
        <v>0</v>
      </c>
      <c r="BB12" s="79">
        <f t="shared" si="26"/>
        <v>0</v>
      </c>
      <c r="BC12" s="52">
        <f t="shared" si="27"/>
        <v>0</v>
      </c>
      <c r="BD12" s="77">
        <f t="shared" si="28"/>
        <v>0</v>
      </c>
      <c r="BE12" s="79">
        <f t="shared" si="29"/>
        <v>0</v>
      </c>
      <c r="BF12" s="79">
        <f t="shared" si="30"/>
        <v>0</v>
      </c>
    </row>
    <row r="13" spans="1:60" ht="30" x14ac:dyDescent="0.25">
      <c r="A13" s="292" t="s">
        <v>214</v>
      </c>
      <c r="B13" s="57" t="s">
        <v>215</v>
      </c>
      <c r="C13" s="54" t="s">
        <v>220</v>
      </c>
      <c r="D13" s="96" t="s">
        <v>579</v>
      </c>
      <c r="E13" s="96">
        <v>40</v>
      </c>
      <c r="F13" s="206">
        <v>0.25</v>
      </c>
      <c r="G13" s="206">
        <f t="shared" si="1"/>
        <v>10</v>
      </c>
      <c r="H13" s="206">
        <v>2</v>
      </c>
      <c r="I13" s="206">
        <f t="shared" si="2"/>
        <v>20</v>
      </c>
      <c r="J13" s="206">
        <v>0.75</v>
      </c>
      <c r="K13" s="206">
        <f t="shared" si="3"/>
        <v>30</v>
      </c>
      <c r="L13" s="206">
        <v>1</v>
      </c>
      <c r="M13" s="206">
        <f t="shared" si="4"/>
        <v>40</v>
      </c>
      <c r="N13" s="131">
        <v>5</v>
      </c>
      <c r="O13" s="131">
        <v>3</v>
      </c>
      <c r="P13" s="131">
        <v>2</v>
      </c>
      <c r="Q13" s="57">
        <f t="shared" si="31"/>
        <v>10</v>
      </c>
      <c r="R13" s="59">
        <f t="shared" si="32"/>
        <v>1</v>
      </c>
      <c r="S13" s="55" t="str">
        <f t="shared" si="33"/>
        <v>Nivel del indicador que satisface y supera las expectativas</v>
      </c>
      <c r="T13" s="163">
        <v>2</v>
      </c>
      <c r="U13" s="163">
        <v>3</v>
      </c>
      <c r="V13" s="163">
        <v>5</v>
      </c>
      <c r="W13" s="56">
        <f t="shared" si="6"/>
        <v>20</v>
      </c>
      <c r="X13" s="59">
        <f t="shared" si="7"/>
        <v>1</v>
      </c>
      <c r="Y13" s="55" t="str">
        <f t="shared" si="8"/>
        <v>Nivel del indicador que satisface y supera las expectativas</v>
      </c>
      <c r="Z13" s="57"/>
      <c r="AA13" s="57"/>
      <c r="AB13" s="214">
        <v>10</v>
      </c>
      <c r="AC13" s="56">
        <f t="shared" si="9"/>
        <v>30</v>
      </c>
      <c r="AD13" s="59">
        <f t="shared" si="34"/>
        <v>1</v>
      </c>
      <c r="AE13" s="55" t="str">
        <f t="shared" si="10"/>
        <v>Nivel del indicador que satisface y supera las expectativas</v>
      </c>
      <c r="AF13" s="57"/>
      <c r="AG13" s="57"/>
      <c r="AH13" s="57"/>
      <c r="AI13" s="56">
        <f t="shared" si="11"/>
        <v>30</v>
      </c>
      <c r="AJ13" s="59">
        <f t="shared" si="12"/>
        <v>0.75</v>
      </c>
      <c r="AK13" s="55" t="str">
        <f t="shared" si="13"/>
        <v>Nivel Aceptable del Indicador</v>
      </c>
      <c r="AP13" s="52">
        <f t="shared" si="14"/>
        <v>40</v>
      </c>
      <c r="AQ13" s="52">
        <f t="shared" si="15"/>
        <v>10</v>
      </c>
      <c r="AR13" s="52">
        <f t="shared" si="16"/>
        <v>10</v>
      </c>
      <c r="AS13" s="79">
        <f t="shared" si="17"/>
        <v>1</v>
      </c>
      <c r="AT13" s="79">
        <f t="shared" si="18"/>
        <v>0.25</v>
      </c>
      <c r="AU13" s="52">
        <f t="shared" si="19"/>
        <v>20</v>
      </c>
      <c r="AV13" s="77">
        <f t="shared" si="20"/>
        <v>20.25</v>
      </c>
      <c r="AW13" s="79">
        <f t="shared" si="21"/>
        <v>1.0125</v>
      </c>
      <c r="AX13" s="79">
        <f t="shared" si="22"/>
        <v>0.50624999999999998</v>
      </c>
      <c r="AY13" s="52">
        <f t="shared" si="23"/>
        <v>30</v>
      </c>
      <c r="AZ13" s="77">
        <f t="shared" si="24"/>
        <v>50.25</v>
      </c>
      <c r="BA13" s="79">
        <f t="shared" si="25"/>
        <v>1.675</v>
      </c>
      <c r="BB13" s="79">
        <f t="shared" si="26"/>
        <v>1.2562500000000001</v>
      </c>
      <c r="BC13" s="52">
        <f t="shared" si="27"/>
        <v>40</v>
      </c>
      <c r="BD13" s="77">
        <f t="shared" si="28"/>
        <v>80.25</v>
      </c>
      <c r="BE13" s="79">
        <f t="shared" si="29"/>
        <v>2.0062500000000001</v>
      </c>
      <c r="BF13" s="79">
        <f t="shared" si="30"/>
        <v>2.0062500000000001</v>
      </c>
    </row>
    <row r="14" spans="1:60" ht="25.5" x14ac:dyDescent="0.25">
      <c r="A14" s="293"/>
      <c r="B14" s="57" t="s">
        <v>216</v>
      </c>
      <c r="C14" s="54" t="s">
        <v>221</v>
      </c>
      <c r="D14" s="96" t="s">
        <v>579</v>
      </c>
      <c r="E14" s="96">
        <v>7</v>
      </c>
      <c r="F14" s="206">
        <v>0.25</v>
      </c>
      <c r="G14" s="206">
        <f t="shared" si="1"/>
        <v>1.75</v>
      </c>
      <c r="H14" s="206">
        <v>2</v>
      </c>
      <c r="I14" s="206">
        <f t="shared" si="2"/>
        <v>3.5</v>
      </c>
      <c r="J14" s="206">
        <v>0.75</v>
      </c>
      <c r="K14" s="206">
        <f t="shared" si="3"/>
        <v>5.25</v>
      </c>
      <c r="L14" s="206">
        <v>1</v>
      </c>
      <c r="M14" s="206">
        <f t="shared" si="4"/>
        <v>7</v>
      </c>
      <c r="N14" s="131">
        <v>0</v>
      </c>
      <c r="O14" s="131">
        <v>1.75</v>
      </c>
      <c r="P14" s="131">
        <v>0</v>
      </c>
      <c r="Q14" s="57">
        <f t="shared" si="31"/>
        <v>1.75</v>
      </c>
      <c r="R14" s="59">
        <f t="shared" si="32"/>
        <v>1</v>
      </c>
      <c r="S14" s="55" t="str">
        <f t="shared" si="0"/>
        <v>Nivel del indicador que satisface y supera las expectativas</v>
      </c>
      <c r="T14" s="163"/>
      <c r="U14" s="163"/>
      <c r="V14" s="163">
        <v>1.75</v>
      </c>
      <c r="W14" s="56">
        <f t="shared" si="6"/>
        <v>3.5</v>
      </c>
      <c r="X14" s="59">
        <f t="shared" si="7"/>
        <v>1</v>
      </c>
      <c r="Y14" s="55" t="str">
        <f t="shared" si="8"/>
        <v>Nivel del indicador que satisface y supera las expectativas</v>
      </c>
      <c r="Z14" s="57"/>
      <c r="AA14" s="57"/>
      <c r="AB14" s="214">
        <v>1.75</v>
      </c>
      <c r="AC14" s="56">
        <f t="shared" si="9"/>
        <v>5.25</v>
      </c>
      <c r="AD14" s="59">
        <v>1</v>
      </c>
      <c r="AE14" s="55" t="str">
        <f t="shared" si="10"/>
        <v>Nivel del indicador que satisface y supera las expectativas</v>
      </c>
      <c r="AF14" s="57"/>
      <c r="AG14" s="57"/>
      <c r="AH14" s="57"/>
      <c r="AI14" s="56">
        <f t="shared" si="11"/>
        <v>5.25</v>
      </c>
      <c r="AJ14" s="59">
        <f t="shared" si="12"/>
        <v>0.75</v>
      </c>
      <c r="AK14" s="55" t="str">
        <f t="shared" si="13"/>
        <v>Nivel Aceptable del Indicador</v>
      </c>
      <c r="AP14" s="52">
        <f t="shared" si="14"/>
        <v>7</v>
      </c>
      <c r="AQ14" s="52">
        <f t="shared" si="15"/>
        <v>1.75</v>
      </c>
      <c r="AR14" s="52">
        <f t="shared" si="16"/>
        <v>1.75</v>
      </c>
      <c r="AS14" s="79">
        <f t="shared" si="17"/>
        <v>1</v>
      </c>
      <c r="AT14" s="79">
        <f t="shared" si="18"/>
        <v>0.25</v>
      </c>
      <c r="AU14" s="52">
        <f t="shared" si="19"/>
        <v>3.5</v>
      </c>
      <c r="AV14" s="77">
        <f t="shared" si="20"/>
        <v>3.75</v>
      </c>
      <c r="AW14" s="79">
        <f t="shared" si="21"/>
        <v>1.0714285714285714</v>
      </c>
      <c r="AX14" s="79">
        <f t="shared" si="22"/>
        <v>0.5357142857142857</v>
      </c>
      <c r="AY14" s="52">
        <f t="shared" si="23"/>
        <v>5.25</v>
      </c>
      <c r="AZ14" s="77">
        <f t="shared" si="24"/>
        <v>9</v>
      </c>
      <c r="BA14" s="79">
        <f t="shared" si="25"/>
        <v>1.7142857142857142</v>
      </c>
      <c r="BB14" s="79">
        <f t="shared" si="26"/>
        <v>1.2857142857142858</v>
      </c>
      <c r="BC14" s="52">
        <f t="shared" si="27"/>
        <v>7</v>
      </c>
      <c r="BD14" s="77">
        <f t="shared" si="28"/>
        <v>14.25</v>
      </c>
      <c r="BE14" s="79">
        <f t="shared" si="29"/>
        <v>2.0357142857142856</v>
      </c>
      <c r="BF14" s="79">
        <f t="shared" si="30"/>
        <v>2.035714285714286</v>
      </c>
    </row>
    <row r="15" spans="1:60" ht="25.5" x14ac:dyDescent="0.25">
      <c r="A15" s="293"/>
      <c r="B15" s="57" t="s">
        <v>217</v>
      </c>
      <c r="C15" s="54" t="s">
        <v>222</v>
      </c>
      <c r="D15" s="96" t="s">
        <v>579</v>
      </c>
      <c r="E15" s="96">
        <v>19</v>
      </c>
      <c r="F15" s="206">
        <v>0.25</v>
      </c>
      <c r="G15" s="206">
        <f t="shared" si="1"/>
        <v>4.75</v>
      </c>
      <c r="H15" s="206">
        <v>2</v>
      </c>
      <c r="I15" s="206">
        <f t="shared" si="2"/>
        <v>9.5</v>
      </c>
      <c r="J15" s="206">
        <v>0.75</v>
      </c>
      <c r="K15" s="206">
        <f t="shared" si="3"/>
        <v>14.25</v>
      </c>
      <c r="L15" s="206">
        <v>1</v>
      </c>
      <c r="M15" s="206">
        <f t="shared" si="4"/>
        <v>19</v>
      </c>
      <c r="N15" s="131">
        <v>4.75</v>
      </c>
      <c r="O15" s="131"/>
      <c r="P15" s="131">
        <v>0</v>
      </c>
      <c r="Q15" s="57">
        <f t="shared" si="31"/>
        <v>4.75</v>
      </c>
      <c r="R15" s="59">
        <f t="shared" si="32"/>
        <v>1</v>
      </c>
      <c r="S15" s="55" t="str">
        <f t="shared" si="0"/>
        <v>Nivel del indicador que satisface y supera las expectativas</v>
      </c>
      <c r="T15" s="163">
        <v>4.75</v>
      </c>
      <c r="U15" s="163"/>
      <c r="V15" s="163"/>
      <c r="W15" s="56">
        <f t="shared" si="6"/>
        <v>9.5</v>
      </c>
      <c r="X15" s="59">
        <f t="shared" si="7"/>
        <v>1</v>
      </c>
      <c r="Y15" s="55" t="str">
        <f t="shared" si="8"/>
        <v>Nivel del indicador que satisface y supera las expectativas</v>
      </c>
      <c r="Z15" s="57"/>
      <c r="AA15" s="57"/>
      <c r="AB15" s="214">
        <v>4.75</v>
      </c>
      <c r="AC15" s="56">
        <f t="shared" si="9"/>
        <v>14.25</v>
      </c>
      <c r="AD15" s="59">
        <f t="shared" si="34"/>
        <v>1</v>
      </c>
      <c r="AE15" s="55" t="str">
        <f t="shared" si="10"/>
        <v>Nivel del indicador que satisface y supera las expectativas</v>
      </c>
      <c r="AF15" s="57"/>
      <c r="AG15" s="57"/>
      <c r="AH15" s="57"/>
      <c r="AI15" s="56">
        <f t="shared" si="11"/>
        <v>14.25</v>
      </c>
      <c r="AJ15" s="59">
        <f t="shared" si="12"/>
        <v>0.75</v>
      </c>
      <c r="AK15" s="55" t="str">
        <f t="shared" si="13"/>
        <v>Nivel Aceptable del Indicador</v>
      </c>
      <c r="AN15" t="s">
        <v>205</v>
      </c>
      <c r="AO15" t="s">
        <v>206</v>
      </c>
      <c r="AP15" s="52">
        <f t="shared" si="14"/>
        <v>19</v>
      </c>
      <c r="AQ15" s="52">
        <f t="shared" si="15"/>
        <v>4.75</v>
      </c>
      <c r="AR15" s="52">
        <f t="shared" si="16"/>
        <v>4.75</v>
      </c>
      <c r="AS15" s="79">
        <f t="shared" si="17"/>
        <v>1</v>
      </c>
      <c r="AT15" s="79">
        <f t="shared" si="18"/>
        <v>0.25</v>
      </c>
      <c r="AU15" s="52">
        <f t="shared" si="19"/>
        <v>9.5</v>
      </c>
      <c r="AV15" s="77">
        <f t="shared" si="20"/>
        <v>9.75</v>
      </c>
      <c r="AW15" s="79">
        <f t="shared" si="21"/>
        <v>1.0263157894736843</v>
      </c>
      <c r="AX15" s="79">
        <f t="shared" si="22"/>
        <v>0.51315789473684215</v>
      </c>
      <c r="AY15" s="52">
        <f t="shared" si="23"/>
        <v>14.25</v>
      </c>
      <c r="AZ15" s="77">
        <f t="shared" si="24"/>
        <v>24</v>
      </c>
      <c r="BA15" s="79">
        <f t="shared" si="25"/>
        <v>1.6842105263157894</v>
      </c>
      <c r="BB15" s="79">
        <f t="shared" si="26"/>
        <v>1.263157894736842</v>
      </c>
      <c r="BC15" s="52">
        <f t="shared" si="27"/>
        <v>19</v>
      </c>
      <c r="BD15" s="77">
        <f t="shared" si="28"/>
        <v>38.25</v>
      </c>
      <c r="BE15" s="79">
        <f t="shared" si="29"/>
        <v>2.013157894736842</v>
      </c>
      <c r="BF15" s="79">
        <f t="shared" si="30"/>
        <v>2.013157894736842</v>
      </c>
    </row>
    <row r="16" spans="1:60" ht="30" x14ac:dyDescent="0.25">
      <c r="A16" s="293"/>
      <c r="B16" s="57" t="s">
        <v>218</v>
      </c>
      <c r="C16" s="54" t="s">
        <v>223</v>
      </c>
      <c r="D16" s="96" t="s">
        <v>580</v>
      </c>
      <c r="E16" s="96">
        <v>7</v>
      </c>
      <c r="F16" s="206">
        <v>0.25</v>
      </c>
      <c r="G16" s="206">
        <f t="shared" si="1"/>
        <v>1.75</v>
      </c>
      <c r="H16" s="206">
        <v>2</v>
      </c>
      <c r="I16" s="206">
        <f t="shared" si="2"/>
        <v>3.5</v>
      </c>
      <c r="J16" s="206">
        <v>0.75</v>
      </c>
      <c r="K16" s="206">
        <f t="shared" si="3"/>
        <v>5.25</v>
      </c>
      <c r="L16" s="206">
        <v>1</v>
      </c>
      <c r="M16" s="206">
        <f t="shared" si="4"/>
        <v>7</v>
      </c>
      <c r="N16" s="131">
        <v>0</v>
      </c>
      <c r="O16" s="131">
        <v>1.75</v>
      </c>
      <c r="P16" s="131">
        <v>0</v>
      </c>
      <c r="Q16" s="57">
        <f t="shared" si="31"/>
        <v>1.75</v>
      </c>
      <c r="R16" s="59">
        <f t="shared" si="32"/>
        <v>1</v>
      </c>
      <c r="S16" s="55" t="str">
        <f t="shared" si="0"/>
        <v>Nivel del indicador que satisface y supera las expectativas</v>
      </c>
      <c r="T16" s="163"/>
      <c r="U16" s="163">
        <v>1.75</v>
      </c>
      <c r="V16" s="163"/>
      <c r="W16" s="56">
        <f t="shared" si="6"/>
        <v>3.5</v>
      </c>
      <c r="X16" s="59">
        <f t="shared" si="7"/>
        <v>1</v>
      </c>
      <c r="Y16" s="55" t="str">
        <f t="shared" si="8"/>
        <v>Nivel del indicador que satisface y supera las expectativas</v>
      </c>
      <c r="Z16" s="57"/>
      <c r="AA16" s="57"/>
      <c r="AB16" s="214">
        <v>1.75</v>
      </c>
      <c r="AC16" s="56">
        <f t="shared" si="9"/>
        <v>5.25</v>
      </c>
      <c r="AD16" s="59">
        <v>1</v>
      </c>
      <c r="AE16" s="55" t="str">
        <f t="shared" si="10"/>
        <v>Nivel del indicador que satisface y supera las expectativas</v>
      </c>
      <c r="AF16" s="57"/>
      <c r="AG16" s="57"/>
      <c r="AH16" s="57"/>
      <c r="AI16" s="56">
        <f t="shared" si="11"/>
        <v>5.25</v>
      </c>
      <c r="AJ16" s="59">
        <f t="shared" si="12"/>
        <v>0.75</v>
      </c>
      <c r="AK16" s="55" t="str">
        <f t="shared" si="13"/>
        <v>Nivel Aceptable del Indicador</v>
      </c>
      <c r="AP16" s="52">
        <f t="shared" si="14"/>
        <v>7</v>
      </c>
      <c r="AQ16" s="52">
        <f t="shared" si="15"/>
        <v>1.75</v>
      </c>
      <c r="AR16" s="52">
        <f t="shared" si="16"/>
        <v>1.75</v>
      </c>
      <c r="AS16" s="79">
        <f t="shared" si="17"/>
        <v>1</v>
      </c>
      <c r="AT16" s="79">
        <f t="shared" si="18"/>
        <v>0.25</v>
      </c>
      <c r="AU16" s="52">
        <f t="shared" si="19"/>
        <v>3.5</v>
      </c>
      <c r="AV16" s="77">
        <f t="shared" si="20"/>
        <v>3.75</v>
      </c>
      <c r="AW16" s="79">
        <f t="shared" si="21"/>
        <v>1.0714285714285714</v>
      </c>
      <c r="AX16" s="79">
        <f t="shared" si="22"/>
        <v>0.5357142857142857</v>
      </c>
      <c r="AY16" s="52">
        <f t="shared" si="23"/>
        <v>5.25</v>
      </c>
      <c r="AZ16" s="77">
        <f t="shared" si="24"/>
        <v>9</v>
      </c>
      <c r="BA16" s="79">
        <f t="shared" si="25"/>
        <v>1.7142857142857142</v>
      </c>
      <c r="BB16" s="79">
        <f t="shared" si="26"/>
        <v>1.2857142857142858</v>
      </c>
      <c r="BC16" s="52">
        <f t="shared" si="27"/>
        <v>7</v>
      </c>
      <c r="BD16" s="77">
        <f t="shared" si="28"/>
        <v>14.25</v>
      </c>
      <c r="BE16" s="79">
        <f t="shared" si="29"/>
        <v>2.0357142857142856</v>
      </c>
      <c r="BF16" s="79">
        <f t="shared" si="30"/>
        <v>2.035714285714286</v>
      </c>
    </row>
    <row r="17" spans="1:58" ht="30" x14ac:dyDescent="0.25">
      <c r="A17" s="294"/>
      <c r="B17" s="57" t="s">
        <v>219</v>
      </c>
      <c r="C17" s="54" t="s">
        <v>224</v>
      </c>
      <c r="D17" s="96" t="s">
        <v>581</v>
      </c>
      <c r="E17" s="96">
        <v>1</v>
      </c>
      <c r="F17" s="206">
        <v>0.25</v>
      </c>
      <c r="G17" s="206">
        <f t="shared" si="1"/>
        <v>0.25</v>
      </c>
      <c r="H17" s="206">
        <v>2</v>
      </c>
      <c r="I17" s="206">
        <f t="shared" si="2"/>
        <v>0.5</v>
      </c>
      <c r="J17" s="206">
        <v>0.75</v>
      </c>
      <c r="K17" s="206">
        <f t="shared" si="3"/>
        <v>0.75</v>
      </c>
      <c r="L17" s="206">
        <v>1</v>
      </c>
      <c r="M17" s="206">
        <f t="shared" si="4"/>
        <v>1</v>
      </c>
      <c r="N17" s="131">
        <v>0</v>
      </c>
      <c r="O17" s="131">
        <v>0.25</v>
      </c>
      <c r="P17" s="131">
        <v>0</v>
      </c>
      <c r="Q17" s="57">
        <f t="shared" si="31"/>
        <v>0.25</v>
      </c>
      <c r="R17" s="59">
        <f t="shared" si="32"/>
        <v>1</v>
      </c>
      <c r="S17" s="55" t="str">
        <f t="shared" si="0"/>
        <v>Nivel del indicador que satisface y supera las expectativas</v>
      </c>
      <c r="T17" s="163"/>
      <c r="U17" s="163">
        <v>0.25</v>
      </c>
      <c r="V17" s="163"/>
      <c r="W17" s="56">
        <f t="shared" si="6"/>
        <v>0.5</v>
      </c>
      <c r="X17" s="59">
        <f t="shared" si="7"/>
        <v>1</v>
      </c>
      <c r="Y17" s="55" t="str">
        <f t="shared" si="8"/>
        <v>Nivel del indicador que satisface y supera las expectativas</v>
      </c>
      <c r="Z17" s="57"/>
      <c r="AA17" s="57"/>
      <c r="AB17" s="214">
        <v>0.25</v>
      </c>
      <c r="AC17" s="56">
        <f t="shared" si="9"/>
        <v>0.75</v>
      </c>
      <c r="AD17" s="59">
        <v>1</v>
      </c>
      <c r="AE17" s="55" t="str">
        <f t="shared" si="10"/>
        <v>Nivel del indicador que satisface y supera las expectativas</v>
      </c>
      <c r="AF17" s="57"/>
      <c r="AG17" s="57"/>
      <c r="AH17" s="57"/>
      <c r="AI17" s="56">
        <f t="shared" si="11"/>
        <v>0.75</v>
      </c>
      <c r="AJ17" s="59">
        <f t="shared" si="12"/>
        <v>0.75</v>
      </c>
      <c r="AK17" s="55" t="str">
        <f t="shared" si="13"/>
        <v>Nivel Aceptable del Indicador</v>
      </c>
      <c r="AP17" s="52">
        <f t="shared" si="14"/>
        <v>1</v>
      </c>
      <c r="AQ17" s="52">
        <f t="shared" si="15"/>
        <v>0.25</v>
      </c>
      <c r="AR17" s="52">
        <f t="shared" si="16"/>
        <v>0.25</v>
      </c>
      <c r="AS17" s="79">
        <f t="shared" si="17"/>
        <v>1</v>
      </c>
      <c r="AT17" s="79">
        <f t="shared" si="18"/>
        <v>0.25</v>
      </c>
      <c r="AU17" s="52">
        <f t="shared" si="19"/>
        <v>0.5</v>
      </c>
      <c r="AV17" s="77">
        <f t="shared" si="20"/>
        <v>0.75</v>
      </c>
      <c r="AW17" s="79">
        <f t="shared" si="21"/>
        <v>1.5</v>
      </c>
      <c r="AX17" s="79">
        <f t="shared" si="22"/>
        <v>0.75</v>
      </c>
      <c r="AY17" s="52">
        <f t="shared" si="23"/>
        <v>0.75</v>
      </c>
      <c r="AZ17" s="77">
        <f t="shared" si="24"/>
        <v>1.5</v>
      </c>
      <c r="BA17" s="79">
        <f t="shared" si="25"/>
        <v>2</v>
      </c>
      <c r="BB17" s="79">
        <f t="shared" si="26"/>
        <v>1.5</v>
      </c>
      <c r="BC17" s="52">
        <f t="shared" si="27"/>
        <v>1</v>
      </c>
      <c r="BD17" s="77">
        <f t="shared" si="28"/>
        <v>2.25</v>
      </c>
      <c r="BE17" s="79">
        <f t="shared" si="29"/>
        <v>2.25</v>
      </c>
      <c r="BF17" s="79">
        <f t="shared" si="30"/>
        <v>2.25</v>
      </c>
    </row>
    <row r="18" spans="1:58" ht="60" x14ac:dyDescent="0.25">
      <c r="A18" s="292" t="s">
        <v>225</v>
      </c>
      <c r="B18" s="57" t="s">
        <v>226</v>
      </c>
      <c r="C18" s="54" t="s">
        <v>245</v>
      </c>
      <c r="D18" s="96" t="s">
        <v>577</v>
      </c>
      <c r="E18" s="96">
        <v>22</v>
      </c>
      <c r="F18" s="206">
        <v>0.25</v>
      </c>
      <c r="G18" s="206">
        <f t="shared" si="1"/>
        <v>5.5</v>
      </c>
      <c r="H18" s="206">
        <v>2</v>
      </c>
      <c r="I18" s="206">
        <f t="shared" si="2"/>
        <v>11</v>
      </c>
      <c r="J18" s="206">
        <v>0.75</v>
      </c>
      <c r="K18" s="206">
        <f t="shared" si="3"/>
        <v>16.5</v>
      </c>
      <c r="L18" s="206">
        <v>1</v>
      </c>
      <c r="M18" s="206">
        <f t="shared" si="4"/>
        <v>22</v>
      </c>
      <c r="N18" s="131">
        <v>0</v>
      </c>
      <c r="O18" s="131">
        <v>5.5</v>
      </c>
      <c r="P18" s="131">
        <v>0</v>
      </c>
      <c r="Q18" s="57">
        <f t="shared" si="31"/>
        <v>5.5</v>
      </c>
      <c r="R18" s="59">
        <f t="shared" si="32"/>
        <v>1</v>
      </c>
      <c r="S18" s="55" t="str">
        <f t="shared" si="0"/>
        <v>Nivel del indicador que satisface y supera las expectativas</v>
      </c>
      <c r="T18" s="163"/>
      <c r="U18" s="163"/>
      <c r="V18" s="163">
        <v>5.5</v>
      </c>
      <c r="W18" s="56">
        <f t="shared" si="6"/>
        <v>11</v>
      </c>
      <c r="X18" s="59">
        <f t="shared" si="7"/>
        <v>1</v>
      </c>
      <c r="Y18" s="55" t="str">
        <f t="shared" si="8"/>
        <v>Nivel del indicador que satisface y supera las expectativas</v>
      </c>
      <c r="Z18" s="57"/>
      <c r="AA18" s="57"/>
      <c r="AB18" s="214">
        <v>5.5</v>
      </c>
      <c r="AC18" s="56">
        <f t="shared" si="9"/>
        <v>16.5</v>
      </c>
      <c r="AD18" s="59">
        <f t="shared" si="34"/>
        <v>1</v>
      </c>
      <c r="AE18" s="55" t="str">
        <f t="shared" si="10"/>
        <v>Nivel del indicador que satisface y supera las expectativas</v>
      </c>
      <c r="AF18" s="57"/>
      <c r="AG18" s="57"/>
      <c r="AH18" s="57"/>
      <c r="AI18" s="56">
        <f t="shared" si="11"/>
        <v>16.5</v>
      </c>
      <c r="AJ18" s="59">
        <f t="shared" si="12"/>
        <v>0.75</v>
      </c>
      <c r="AK18" s="55" t="str">
        <f t="shared" si="13"/>
        <v>Nivel Aceptable del Indicador</v>
      </c>
      <c r="AP18" s="52">
        <f t="shared" si="14"/>
        <v>22</v>
      </c>
      <c r="AQ18" s="52">
        <f t="shared" si="15"/>
        <v>5.5</v>
      </c>
      <c r="AR18" s="52">
        <f t="shared" si="16"/>
        <v>5.5</v>
      </c>
      <c r="AS18" s="79">
        <f t="shared" si="17"/>
        <v>1</v>
      </c>
      <c r="AT18" s="79">
        <f t="shared" si="18"/>
        <v>0.25</v>
      </c>
      <c r="AU18" s="52">
        <f t="shared" si="19"/>
        <v>11</v>
      </c>
      <c r="AV18" s="77">
        <f t="shared" si="20"/>
        <v>11.25</v>
      </c>
      <c r="AW18" s="79">
        <f t="shared" si="21"/>
        <v>1.0227272727272727</v>
      </c>
      <c r="AX18" s="79">
        <f t="shared" si="22"/>
        <v>0.51136363636363635</v>
      </c>
      <c r="AY18" s="52">
        <f t="shared" si="23"/>
        <v>16.5</v>
      </c>
      <c r="AZ18" s="77">
        <f t="shared" si="24"/>
        <v>27.75</v>
      </c>
      <c r="BA18" s="79">
        <f t="shared" si="25"/>
        <v>1.6818181818181819</v>
      </c>
      <c r="BB18" s="79">
        <f t="shared" si="26"/>
        <v>1.2613636363636365</v>
      </c>
      <c r="BC18" s="52">
        <f t="shared" si="27"/>
        <v>22</v>
      </c>
      <c r="BD18" s="77">
        <f t="shared" si="28"/>
        <v>44.25</v>
      </c>
      <c r="BE18" s="79">
        <f t="shared" si="29"/>
        <v>2.0113636363636362</v>
      </c>
      <c r="BF18" s="79">
        <f t="shared" si="30"/>
        <v>2.0113636363636362</v>
      </c>
    </row>
    <row r="19" spans="1:58" ht="30" x14ac:dyDescent="0.25">
      <c r="A19" s="293"/>
      <c r="B19" s="57" t="s">
        <v>227</v>
      </c>
      <c r="C19" s="54" t="s">
        <v>246</v>
      </c>
      <c r="D19" s="96" t="s">
        <v>582</v>
      </c>
      <c r="E19" s="96">
        <v>1000</v>
      </c>
      <c r="F19" s="206">
        <v>0.25</v>
      </c>
      <c r="G19" s="206">
        <f t="shared" si="1"/>
        <v>250</v>
      </c>
      <c r="H19" s="206">
        <v>2</v>
      </c>
      <c r="I19" s="206">
        <f t="shared" si="2"/>
        <v>500</v>
      </c>
      <c r="J19" s="206">
        <v>0.75</v>
      </c>
      <c r="K19" s="206">
        <f t="shared" si="3"/>
        <v>750</v>
      </c>
      <c r="L19" s="206">
        <v>1</v>
      </c>
      <c r="M19" s="206">
        <f t="shared" si="4"/>
        <v>1000</v>
      </c>
      <c r="N19" s="131">
        <v>0</v>
      </c>
      <c r="O19" s="131">
        <v>250</v>
      </c>
      <c r="P19" s="131">
        <v>0</v>
      </c>
      <c r="Q19" s="57">
        <f t="shared" si="31"/>
        <v>250</v>
      </c>
      <c r="R19" s="59">
        <f t="shared" si="32"/>
        <v>1</v>
      </c>
      <c r="S19" s="55" t="str">
        <f t="shared" si="0"/>
        <v>Nivel del indicador que satisface y supera las expectativas</v>
      </c>
      <c r="T19" s="163">
        <v>250</v>
      </c>
      <c r="U19" s="163"/>
      <c r="V19" s="163"/>
      <c r="W19" s="56">
        <f t="shared" si="6"/>
        <v>500</v>
      </c>
      <c r="X19" s="59">
        <f t="shared" si="7"/>
        <v>1</v>
      </c>
      <c r="Y19" s="55" t="str">
        <f t="shared" si="8"/>
        <v>Nivel del indicador que satisface y supera las expectativas</v>
      </c>
      <c r="Z19" s="57"/>
      <c r="AA19" s="57"/>
      <c r="AB19" s="214">
        <v>250</v>
      </c>
      <c r="AC19" s="56">
        <f t="shared" si="9"/>
        <v>750</v>
      </c>
      <c r="AD19" s="59">
        <f t="shared" si="34"/>
        <v>1</v>
      </c>
      <c r="AE19" s="55" t="str">
        <f t="shared" si="10"/>
        <v>Nivel del indicador que satisface y supera las expectativas</v>
      </c>
      <c r="AF19" s="57"/>
      <c r="AG19" s="57"/>
      <c r="AH19" s="57"/>
      <c r="AI19" s="56">
        <f t="shared" si="11"/>
        <v>750</v>
      </c>
      <c r="AJ19" s="59">
        <f t="shared" si="12"/>
        <v>0.75</v>
      </c>
      <c r="AK19" s="55" t="str">
        <f t="shared" si="13"/>
        <v>Nivel Aceptable del Indicador</v>
      </c>
      <c r="AP19" s="52">
        <f t="shared" si="14"/>
        <v>1000</v>
      </c>
      <c r="AQ19" s="52">
        <f t="shared" si="15"/>
        <v>250</v>
      </c>
      <c r="AR19" s="52">
        <f t="shared" si="16"/>
        <v>250</v>
      </c>
      <c r="AS19" s="79">
        <f t="shared" si="17"/>
        <v>1</v>
      </c>
      <c r="AT19" s="79">
        <f t="shared" si="18"/>
        <v>0.25</v>
      </c>
      <c r="AU19" s="52">
        <f t="shared" si="19"/>
        <v>500</v>
      </c>
      <c r="AV19" s="77">
        <f t="shared" si="20"/>
        <v>500.25</v>
      </c>
      <c r="AW19" s="79">
        <f t="shared" si="21"/>
        <v>1.0004999999999999</v>
      </c>
      <c r="AX19" s="79">
        <f t="shared" si="22"/>
        <v>0.50024999999999997</v>
      </c>
      <c r="AY19" s="52">
        <f t="shared" si="23"/>
        <v>750</v>
      </c>
      <c r="AZ19" s="77">
        <f t="shared" si="24"/>
        <v>1250.25</v>
      </c>
      <c r="BA19" s="79">
        <f t="shared" si="25"/>
        <v>1.667</v>
      </c>
      <c r="BB19" s="79">
        <f t="shared" si="26"/>
        <v>1.2502500000000001</v>
      </c>
      <c r="BC19" s="52">
        <f t="shared" si="27"/>
        <v>1000</v>
      </c>
      <c r="BD19" s="77">
        <f t="shared" si="28"/>
        <v>2000.25</v>
      </c>
      <c r="BE19" s="79">
        <f t="shared" si="29"/>
        <v>2.0002499999999999</v>
      </c>
      <c r="BF19" s="79">
        <f t="shared" si="30"/>
        <v>2.0002499999999999</v>
      </c>
    </row>
    <row r="20" spans="1:58" ht="30" x14ac:dyDescent="0.25">
      <c r="A20" s="293"/>
      <c r="B20" s="57" t="s">
        <v>228</v>
      </c>
      <c r="C20" s="54" t="s">
        <v>247</v>
      </c>
      <c r="D20" s="96" t="s">
        <v>582</v>
      </c>
      <c r="E20" s="96">
        <v>1000</v>
      </c>
      <c r="F20" s="206">
        <v>0.25</v>
      </c>
      <c r="G20" s="206">
        <f t="shared" si="1"/>
        <v>250</v>
      </c>
      <c r="H20" s="206">
        <v>2</v>
      </c>
      <c r="I20" s="206">
        <f t="shared" si="2"/>
        <v>500</v>
      </c>
      <c r="J20" s="206">
        <v>0.75</v>
      </c>
      <c r="K20" s="206">
        <f t="shared" si="3"/>
        <v>750</v>
      </c>
      <c r="L20" s="206">
        <v>1</v>
      </c>
      <c r="M20" s="206">
        <f t="shared" si="4"/>
        <v>1000</v>
      </c>
      <c r="N20" s="131">
        <v>0</v>
      </c>
      <c r="O20" s="131">
        <v>250</v>
      </c>
      <c r="P20" s="131">
        <v>0</v>
      </c>
      <c r="Q20" s="57">
        <f t="shared" si="31"/>
        <v>250</v>
      </c>
      <c r="R20" s="59">
        <f t="shared" si="32"/>
        <v>1</v>
      </c>
      <c r="S20" s="55" t="str">
        <f t="shared" si="0"/>
        <v>Nivel del indicador que satisface y supera las expectativas</v>
      </c>
      <c r="T20" s="163">
        <v>250</v>
      </c>
      <c r="U20" s="163"/>
      <c r="V20" s="163"/>
      <c r="W20" s="56">
        <f t="shared" si="6"/>
        <v>500</v>
      </c>
      <c r="X20" s="59">
        <f t="shared" si="7"/>
        <v>1</v>
      </c>
      <c r="Y20" s="55" t="str">
        <f t="shared" si="8"/>
        <v>Nivel del indicador que satisface y supera las expectativas</v>
      </c>
      <c r="Z20" s="57"/>
      <c r="AA20" s="57"/>
      <c r="AB20" s="214">
        <v>250</v>
      </c>
      <c r="AC20" s="56">
        <f t="shared" si="9"/>
        <v>750</v>
      </c>
      <c r="AD20" s="59">
        <f t="shared" si="34"/>
        <v>1</v>
      </c>
      <c r="AE20" s="55" t="str">
        <f t="shared" si="10"/>
        <v>Nivel del indicador que satisface y supera las expectativas</v>
      </c>
      <c r="AF20" s="57"/>
      <c r="AG20" s="57"/>
      <c r="AH20" s="57"/>
      <c r="AI20" s="56">
        <f t="shared" si="11"/>
        <v>750</v>
      </c>
      <c r="AJ20" s="59">
        <f t="shared" si="12"/>
        <v>0.75</v>
      </c>
      <c r="AK20" s="55" t="str">
        <f t="shared" si="13"/>
        <v>Nivel Aceptable del Indicador</v>
      </c>
      <c r="AP20" s="52">
        <f t="shared" si="14"/>
        <v>1000</v>
      </c>
      <c r="AQ20" s="52">
        <f t="shared" si="15"/>
        <v>250</v>
      </c>
      <c r="AR20" s="52">
        <f t="shared" si="16"/>
        <v>250</v>
      </c>
      <c r="AS20" s="79">
        <f t="shared" si="17"/>
        <v>1</v>
      </c>
      <c r="AT20" s="79">
        <f t="shared" si="18"/>
        <v>0.25</v>
      </c>
      <c r="AU20" s="52">
        <f t="shared" si="19"/>
        <v>500</v>
      </c>
      <c r="AV20" s="77">
        <f t="shared" si="20"/>
        <v>500.25</v>
      </c>
      <c r="AW20" s="79">
        <f t="shared" si="21"/>
        <v>1.0004999999999999</v>
      </c>
      <c r="AX20" s="79">
        <f t="shared" si="22"/>
        <v>0.50024999999999997</v>
      </c>
      <c r="AY20" s="52">
        <f t="shared" si="23"/>
        <v>750</v>
      </c>
      <c r="AZ20" s="77">
        <f t="shared" si="24"/>
        <v>1250.25</v>
      </c>
      <c r="BA20" s="79">
        <f t="shared" si="25"/>
        <v>1.667</v>
      </c>
      <c r="BB20" s="79">
        <f t="shared" si="26"/>
        <v>1.2502500000000001</v>
      </c>
      <c r="BC20" s="52">
        <f t="shared" si="27"/>
        <v>1000</v>
      </c>
      <c r="BD20" s="77">
        <f t="shared" si="28"/>
        <v>2000.25</v>
      </c>
      <c r="BE20" s="79">
        <f t="shared" si="29"/>
        <v>2.0002499999999999</v>
      </c>
      <c r="BF20" s="79">
        <f t="shared" si="30"/>
        <v>2.0002499999999999</v>
      </c>
    </row>
    <row r="21" spans="1:58" ht="30" x14ac:dyDescent="0.25">
      <c r="A21" s="293"/>
      <c r="B21" s="57" t="s">
        <v>229</v>
      </c>
      <c r="C21" s="54" t="s">
        <v>248</v>
      </c>
      <c r="D21" s="96" t="s">
        <v>582</v>
      </c>
      <c r="E21" s="96">
        <v>1000</v>
      </c>
      <c r="F21" s="206">
        <v>0.25</v>
      </c>
      <c r="G21" s="206">
        <f t="shared" si="1"/>
        <v>250</v>
      </c>
      <c r="H21" s="206">
        <v>2</v>
      </c>
      <c r="I21" s="206">
        <f t="shared" si="2"/>
        <v>500</v>
      </c>
      <c r="J21" s="206">
        <v>0.75</v>
      </c>
      <c r="K21" s="206">
        <f t="shared" si="3"/>
        <v>750</v>
      </c>
      <c r="L21" s="206">
        <v>1</v>
      </c>
      <c r="M21" s="206">
        <f t="shared" si="4"/>
        <v>1000</v>
      </c>
      <c r="N21" s="131">
        <v>0</v>
      </c>
      <c r="O21" s="131">
        <v>250</v>
      </c>
      <c r="P21" s="131">
        <v>0</v>
      </c>
      <c r="Q21" s="57">
        <f t="shared" si="31"/>
        <v>250</v>
      </c>
      <c r="R21" s="59">
        <f t="shared" si="32"/>
        <v>1</v>
      </c>
      <c r="S21" s="55" t="str">
        <f t="shared" si="0"/>
        <v>Nivel del indicador que satisface y supera las expectativas</v>
      </c>
      <c r="T21" s="163">
        <v>250</v>
      </c>
      <c r="U21" s="163"/>
      <c r="V21" s="163"/>
      <c r="W21" s="56">
        <f>T21+U21+V21+Q21</f>
        <v>500</v>
      </c>
      <c r="X21" s="59">
        <f t="shared" si="7"/>
        <v>1</v>
      </c>
      <c r="Y21" s="55" t="str">
        <f t="shared" si="8"/>
        <v>Nivel del indicador que satisface y supera las expectativas</v>
      </c>
      <c r="Z21" s="57"/>
      <c r="AA21" s="57"/>
      <c r="AB21" s="214">
        <v>250</v>
      </c>
      <c r="AC21" s="56">
        <f t="shared" si="9"/>
        <v>750</v>
      </c>
      <c r="AD21" s="59">
        <f t="shared" si="34"/>
        <v>1</v>
      </c>
      <c r="AE21" s="55" t="str">
        <f t="shared" si="10"/>
        <v>Nivel del indicador que satisface y supera las expectativas</v>
      </c>
      <c r="AF21" s="57"/>
      <c r="AG21" s="57"/>
      <c r="AH21" s="57"/>
      <c r="AI21" s="56">
        <f t="shared" si="11"/>
        <v>750</v>
      </c>
      <c r="AJ21" s="59">
        <f t="shared" si="12"/>
        <v>0.75</v>
      </c>
      <c r="AK21" s="55" t="str">
        <f t="shared" si="13"/>
        <v>Nivel Aceptable del Indicador</v>
      </c>
      <c r="AP21" s="52">
        <f t="shared" si="14"/>
        <v>1000</v>
      </c>
      <c r="AQ21" s="52">
        <f t="shared" si="15"/>
        <v>250</v>
      </c>
      <c r="AR21" s="52">
        <f t="shared" si="16"/>
        <v>250</v>
      </c>
      <c r="AS21" s="79">
        <f t="shared" si="17"/>
        <v>1</v>
      </c>
      <c r="AT21" s="79">
        <f t="shared" si="18"/>
        <v>0.25</v>
      </c>
      <c r="AU21" s="52">
        <f t="shared" si="19"/>
        <v>500</v>
      </c>
      <c r="AV21" s="77">
        <f t="shared" si="20"/>
        <v>500.25</v>
      </c>
      <c r="AW21" s="79">
        <f t="shared" si="21"/>
        <v>1.0004999999999999</v>
      </c>
      <c r="AX21" s="79">
        <f t="shared" si="22"/>
        <v>0.50024999999999997</v>
      </c>
      <c r="AY21" s="52">
        <f t="shared" si="23"/>
        <v>750</v>
      </c>
      <c r="AZ21" s="77">
        <f t="shared" si="24"/>
        <v>1250.25</v>
      </c>
      <c r="BA21" s="79">
        <f t="shared" si="25"/>
        <v>1.667</v>
      </c>
      <c r="BB21" s="79">
        <f t="shared" si="26"/>
        <v>1.2502500000000001</v>
      </c>
      <c r="BC21" s="52">
        <f t="shared" si="27"/>
        <v>1000</v>
      </c>
      <c r="BD21" s="77">
        <f t="shared" si="28"/>
        <v>2000.25</v>
      </c>
      <c r="BE21" s="79">
        <f t="shared" si="29"/>
        <v>2.0002499999999999</v>
      </c>
      <c r="BF21" s="79">
        <f t="shared" si="30"/>
        <v>2.0002499999999999</v>
      </c>
    </row>
    <row r="22" spans="1:58" ht="30.75" customHeight="1" x14ac:dyDescent="0.25">
      <c r="A22" s="293"/>
      <c r="B22" s="57" t="s">
        <v>230</v>
      </c>
      <c r="C22" s="54" t="s">
        <v>249</v>
      </c>
      <c r="D22" s="96" t="s">
        <v>583</v>
      </c>
      <c r="E22" s="96">
        <v>1</v>
      </c>
      <c r="F22" s="206">
        <v>0.25</v>
      </c>
      <c r="G22" s="206">
        <f t="shared" si="1"/>
        <v>0.25</v>
      </c>
      <c r="H22" s="206">
        <v>2</v>
      </c>
      <c r="I22" s="206">
        <f t="shared" si="2"/>
        <v>0.5</v>
      </c>
      <c r="J22" s="206">
        <v>0.75</v>
      </c>
      <c r="K22" s="206">
        <f t="shared" si="3"/>
        <v>0.75</v>
      </c>
      <c r="L22" s="206">
        <v>1</v>
      </c>
      <c r="M22" s="206">
        <f t="shared" si="4"/>
        <v>1</v>
      </c>
      <c r="N22" s="131">
        <v>0</v>
      </c>
      <c r="O22" s="131">
        <v>0.25</v>
      </c>
      <c r="P22" s="131">
        <v>0</v>
      </c>
      <c r="Q22" s="57">
        <f t="shared" si="31"/>
        <v>0.25</v>
      </c>
      <c r="R22" s="59">
        <f t="shared" si="32"/>
        <v>1</v>
      </c>
      <c r="S22" s="55" t="str">
        <f>IF(AND(E22&gt;0,Q22=0),"¡¡Ojo No se Ejecutaron Actividades!!",IF(R22="","",IF(R22&lt;8.99%,"Se ha avanzado muy poco o nada en este indicador",IF(R22&lt;=19.99%,"Nivel Aceptable del Indicador",IF(R22&lt;=24.99%,"Nivel del indicador que cumple las expectativas","Nivel del indicador que satisface y supera las expectativas")))))</f>
        <v>Nivel del indicador que satisface y supera las expectativas</v>
      </c>
      <c r="T22" s="163"/>
      <c r="U22" s="163">
        <v>0.25</v>
      </c>
      <c r="V22" s="163"/>
      <c r="W22" s="56">
        <f t="shared" si="6"/>
        <v>0.5</v>
      </c>
      <c r="X22" s="59">
        <f t="shared" si="7"/>
        <v>1</v>
      </c>
      <c r="Y22" s="55" t="str">
        <f t="shared" si="8"/>
        <v>Nivel del indicador que satisface y supera las expectativas</v>
      </c>
      <c r="Z22" s="57"/>
      <c r="AA22" s="57"/>
      <c r="AB22" s="214">
        <v>0.25</v>
      </c>
      <c r="AC22" s="56">
        <f t="shared" si="9"/>
        <v>0.75</v>
      </c>
      <c r="AD22" s="59">
        <v>1</v>
      </c>
      <c r="AE22" s="55" t="str">
        <f t="shared" si="10"/>
        <v>Nivel del indicador que satisface y supera las expectativas</v>
      </c>
      <c r="AF22" s="57"/>
      <c r="AG22" s="57"/>
      <c r="AH22" s="57"/>
      <c r="AI22" s="56">
        <f t="shared" si="11"/>
        <v>0.75</v>
      </c>
      <c r="AJ22" s="59">
        <f t="shared" si="12"/>
        <v>0.75</v>
      </c>
      <c r="AK22" s="55" t="str">
        <f t="shared" si="13"/>
        <v>Nivel Aceptable del Indicador</v>
      </c>
      <c r="AP22" s="52">
        <f t="shared" si="14"/>
        <v>1</v>
      </c>
      <c r="AQ22" s="52">
        <f t="shared" si="15"/>
        <v>0.25</v>
      </c>
      <c r="AR22" s="52">
        <f t="shared" si="16"/>
        <v>0.25</v>
      </c>
      <c r="AS22" s="79">
        <f t="shared" si="17"/>
        <v>1</v>
      </c>
      <c r="AT22" s="79">
        <f t="shared" si="18"/>
        <v>0.25</v>
      </c>
      <c r="AU22" s="52">
        <f t="shared" si="19"/>
        <v>0.5</v>
      </c>
      <c r="AV22" s="77">
        <f t="shared" si="20"/>
        <v>0.75</v>
      </c>
      <c r="AW22" s="79">
        <f t="shared" si="21"/>
        <v>1.5</v>
      </c>
      <c r="AX22" s="79">
        <f t="shared" si="22"/>
        <v>0.75</v>
      </c>
      <c r="AY22" s="52">
        <f t="shared" si="23"/>
        <v>0.75</v>
      </c>
      <c r="AZ22" s="77">
        <f t="shared" si="24"/>
        <v>1.5</v>
      </c>
      <c r="BA22" s="79">
        <f t="shared" si="25"/>
        <v>2</v>
      </c>
      <c r="BB22" s="79">
        <f t="shared" si="26"/>
        <v>1.5</v>
      </c>
      <c r="BC22" s="52">
        <f t="shared" si="27"/>
        <v>1</v>
      </c>
      <c r="BD22" s="77">
        <f t="shared" si="28"/>
        <v>2.25</v>
      </c>
      <c r="BE22" s="79">
        <f t="shared" si="29"/>
        <v>2.25</v>
      </c>
      <c r="BF22" s="79">
        <f t="shared" si="30"/>
        <v>2.25</v>
      </c>
    </row>
    <row r="23" spans="1:58" ht="45" x14ac:dyDescent="0.25">
      <c r="A23" s="293"/>
      <c r="B23" s="57" t="s">
        <v>231</v>
      </c>
      <c r="C23" s="54" t="s">
        <v>250</v>
      </c>
      <c r="D23" s="96" t="s">
        <v>584</v>
      </c>
      <c r="E23" s="96">
        <v>1</v>
      </c>
      <c r="F23" s="206">
        <v>0.25</v>
      </c>
      <c r="G23" s="206">
        <f t="shared" si="1"/>
        <v>0.25</v>
      </c>
      <c r="H23" s="206">
        <v>2</v>
      </c>
      <c r="I23" s="206">
        <f t="shared" si="2"/>
        <v>0.5</v>
      </c>
      <c r="J23" s="206">
        <v>0.75</v>
      </c>
      <c r="K23" s="206">
        <f t="shared" si="3"/>
        <v>0.75</v>
      </c>
      <c r="L23" s="206">
        <v>1</v>
      </c>
      <c r="M23" s="206">
        <f t="shared" si="4"/>
        <v>1</v>
      </c>
      <c r="N23" s="131">
        <v>0</v>
      </c>
      <c r="O23" s="131">
        <v>0</v>
      </c>
      <c r="P23" s="131">
        <v>0.25</v>
      </c>
      <c r="Q23" s="57">
        <f t="shared" si="31"/>
        <v>0.25</v>
      </c>
      <c r="R23" s="59">
        <f t="shared" si="32"/>
        <v>1</v>
      </c>
      <c r="S23" s="55" t="str">
        <f t="shared" ref="S23:S51" si="35">IF(AND(E23&gt;0,Q23=0),"¡¡Ojo No se Ejecutaron Actividades!!",IF(R23="","",IF(R23&lt;8.99%,"Se ha avanzado muy poco o nada en este indicador",IF(R23&lt;=19.99%,"Nivel Aceptable del Indicador",IF(R23&lt;=24.99%,"Nivel del indicador que cumple las expectativas","Nivel del indicador que satisface y supera las expectativas")))))</f>
        <v>Nivel del indicador que satisface y supera las expectativas</v>
      </c>
      <c r="T23" s="163"/>
      <c r="U23" s="163">
        <v>0.25</v>
      </c>
      <c r="V23" s="163"/>
      <c r="W23" s="56">
        <f>T23+U23+V23+Q23</f>
        <v>0.5</v>
      </c>
      <c r="X23" s="59">
        <f t="shared" si="7"/>
        <v>1</v>
      </c>
      <c r="Y23" s="55" t="str">
        <f t="shared" si="8"/>
        <v>Nivel del indicador que satisface y supera las expectativas</v>
      </c>
      <c r="Z23" s="57"/>
      <c r="AA23" s="57"/>
      <c r="AB23" s="214">
        <v>0.25</v>
      </c>
      <c r="AC23" s="56">
        <f t="shared" si="9"/>
        <v>0.75</v>
      </c>
      <c r="AD23" s="59">
        <v>1</v>
      </c>
      <c r="AE23" s="55" t="str">
        <f t="shared" si="10"/>
        <v>Nivel del indicador que satisface y supera las expectativas</v>
      </c>
      <c r="AF23" s="57"/>
      <c r="AG23" s="57"/>
      <c r="AH23" s="57"/>
      <c r="AI23" s="56">
        <f t="shared" si="11"/>
        <v>0.75</v>
      </c>
      <c r="AJ23" s="59">
        <f t="shared" si="12"/>
        <v>0.75</v>
      </c>
      <c r="AK23" s="55" t="str">
        <f t="shared" si="13"/>
        <v>Nivel Aceptable del Indicador</v>
      </c>
      <c r="AP23" s="52">
        <f t="shared" si="14"/>
        <v>1</v>
      </c>
      <c r="AQ23" s="52">
        <f t="shared" si="15"/>
        <v>0.25</v>
      </c>
      <c r="AR23" s="52">
        <f t="shared" si="16"/>
        <v>0.25</v>
      </c>
      <c r="AS23" s="79">
        <f t="shared" si="17"/>
        <v>1</v>
      </c>
      <c r="AT23" s="79">
        <f t="shared" si="18"/>
        <v>0.25</v>
      </c>
      <c r="AU23" s="52">
        <f t="shared" si="19"/>
        <v>0.5</v>
      </c>
      <c r="AV23" s="77">
        <f t="shared" si="20"/>
        <v>0.75</v>
      </c>
      <c r="AW23" s="79">
        <f t="shared" si="21"/>
        <v>1.5</v>
      </c>
      <c r="AX23" s="79">
        <f t="shared" si="22"/>
        <v>0.75</v>
      </c>
      <c r="AY23" s="52">
        <f t="shared" si="23"/>
        <v>0.75</v>
      </c>
      <c r="AZ23" s="77">
        <f t="shared" si="24"/>
        <v>1.5</v>
      </c>
      <c r="BA23" s="79">
        <f t="shared" si="25"/>
        <v>2</v>
      </c>
      <c r="BB23" s="79">
        <f t="shared" si="26"/>
        <v>1.5</v>
      </c>
      <c r="BC23" s="52">
        <f t="shared" si="27"/>
        <v>1</v>
      </c>
      <c r="BD23" s="77">
        <f t="shared" si="28"/>
        <v>2.25</v>
      </c>
      <c r="BE23" s="79">
        <f t="shared" si="29"/>
        <v>2.25</v>
      </c>
      <c r="BF23" s="79">
        <f t="shared" si="30"/>
        <v>2.25</v>
      </c>
    </row>
    <row r="24" spans="1:58" ht="75" x14ac:dyDescent="0.25">
      <c r="A24" s="293"/>
      <c r="B24" s="57" t="s">
        <v>232</v>
      </c>
      <c r="C24" s="54" t="s">
        <v>251</v>
      </c>
      <c r="D24" s="96" t="s">
        <v>585</v>
      </c>
      <c r="E24" s="96">
        <v>2</v>
      </c>
      <c r="F24" s="206">
        <v>0.25</v>
      </c>
      <c r="G24" s="206">
        <f t="shared" si="1"/>
        <v>0.5</v>
      </c>
      <c r="H24" s="206">
        <v>2</v>
      </c>
      <c r="I24" s="206">
        <f t="shared" si="2"/>
        <v>1</v>
      </c>
      <c r="J24" s="206">
        <v>0.75</v>
      </c>
      <c r="K24" s="206">
        <f t="shared" si="3"/>
        <v>1.5</v>
      </c>
      <c r="L24" s="206">
        <v>1</v>
      </c>
      <c r="M24" s="206">
        <f t="shared" si="4"/>
        <v>2</v>
      </c>
      <c r="N24" s="131">
        <v>0</v>
      </c>
      <c r="O24" s="131">
        <v>0</v>
      </c>
      <c r="P24" s="131">
        <v>0.5</v>
      </c>
      <c r="Q24" s="57">
        <f t="shared" si="31"/>
        <v>0.5</v>
      </c>
      <c r="R24" s="59">
        <f t="shared" si="32"/>
        <v>1</v>
      </c>
      <c r="S24" s="55" t="str">
        <f t="shared" si="35"/>
        <v>Nivel del indicador que satisface y supera las expectativas</v>
      </c>
      <c r="T24" s="163"/>
      <c r="U24" s="163">
        <v>0.5</v>
      </c>
      <c r="V24" s="163"/>
      <c r="W24" s="56">
        <f t="shared" si="6"/>
        <v>1</v>
      </c>
      <c r="X24" s="59">
        <f t="shared" si="7"/>
        <v>1</v>
      </c>
      <c r="Y24" s="55" t="str">
        <f t="shared" si="8"/>
        <v>Nivel del indicador que satisface y supera las expectativas</v>
      </c>
      <c r="Z24" s="57"/>
      <c r="AA24" s="57"/>
      <c r="AB24" s="214">
        <v>0.5</v>
      </c>
      <c r="AC24" s="56">
        <f t="shared" si="9"/>
        <v>1.5</v>
      </c>
      <c r="AD24" s="59">
        <f t="shared" si="34"/>
        <v>1</v>
      </c>
      <c r="AE24" s="55" t="str">
        <f t="shared" si="10"/>
        <v>Nivel del indicador que satisface y supera las expectativas</v>
      </c>
      <c r="AF24" s="57"/>
      <c r="AG24" s="57"/>
      <c r="AH24" s="57"/>
      <c r="AI24" s="56">
        <f t="shared" si="11"/>
        <v>1.5</v>
      </c>
      <c r="AJ24" s="59">
        <f t="shared" si="12"/>
        <v>0.75</v>
      </c>
      <c r="AK24" s="55" t="str">
        <f t="shared" si="13"/>
        <v>Nivel Aceptable del Indicador</v>
      </c>
      <c r="AP24" s="52">
        <f t="shared" si="14"/>
        <v>2</v>
      </c>
      <c r="AQ24" s="52">
        <f t="shared" si="15"/>
        <v>0.5</v>
      </c>
      <c r="AR24" s="52">
        <f t="shared" si="16"/>
        <v>0.5</v>
      </c>
      <c r="AS24" s="79">
        <f t="shared" si="17"/>
        <v>1</v>
      </c>
      <c r="AT24" s="79">
        <f t="shared" si="18"/>
        <v>0.25</v>
      </c>
      <c r="AU24" s="52">
        <f t="shared" si="19"/>
        <v>1</v>
      </c>
      <c r="AV24" s="77">
        <f t="shared" si="20"/>
        <v>1.25</v>
      </c>
      <c r="AW24" s="79">
        <f t="shared" si="21"/>
        <v>1.25</v>
      </c>
      <c r="AX24" s="79">
        <f t="shared" si="22"/>
        <v>0.625</v>
      </c>
      <c r="AY24" s="52">
        <f t="shared" si="23"/>
        <v>1.5</v>
      </c>
      <c r="AZ24" s="77">
        <f t="shared" si="24"/>
        <v>2.75</v>
      </c>
      <c r="BA24" s="79">
        <f t="shared" si="25"/>
        <v>1.8333333333333333</v>
      </c>
      <c r="BB24" s="79">
        <f t="shared" si="26"/>
        <v>1.375</v>
      </c>
      <c r="BC24" s="52">
        <f t="shared" si="27"/>
        <v>2</v>
      </c>
      <c r="BD24" s="77">
        <f t="shared" si="28"/>
        <v>4.25</v>
      </c>
      <c r="BE24" s="79">
        <f t="shared" si="29"/>
        <v>2.125</v>
      </c>
      <c r="BF24" s="79">
        <f t="shared" si="30"/>
        <v>2.125</v>
      </c>
    </row>
    <row r="25" spans="1:58" ht="45" x14ac:dyDescent="0.25">
      <c r="A25" s="293"/>
      <c r="B25" s="57" t="s">
        <v>233</v>
      </c>
      <c r="C25" s="54" t="s">
        <v>252</v>
      </c>
      <c r="D25" s="96" t="s">
        <v>581</v>
      </c>
      <c r="E25" s="96">
        <v>1</v>
      </c>
      <c r="F25" s="206">
        <v>0.25</v>
      </c>
      <c r="G25" s="206">
        <f t="shared" si="1"/>
        <v>0.25</v>
      </c>
      <c r="H25" s="206">
        <v>2</v>
      </c>
      <c r="I25" s="206">
        <f t="shared" si="2"/>
        <v>0.5</v>
      </c>
      <c r="J25" s="206">
        <v>0.75</v>
      </c>
      <c r="K25" s="206">
        <f t="shared" si="3"/>
        <v>0.75</v>
      </c>
      <c r="L25" s="206">
        <v>1</v>
      </c>
      <c r="M25" s="206">
        <f t="shared" si="4"/>
        <v>1</v>
      </c>
      <c r="N25" s="131">
        <v>0</v>
      </c>
      <c r="O25" s="131">
        <v>0</v>
      </c>
      <c r="P25" s="131">
        <v>0.25</v>
      </c>
      <c r="Q25" s="57">
        <f t="shared" si="31"/>
        <v>0.25</v>
      </c>
      <c r="R25" s="59">
        <f t="shared" si="32"/>
        <v>1</v>
      </c>
      <c r="S25" s="55" t="str">
        <f t="shared" si="35"/>
        <v>Nivel del indicador que satisface y supera las expectativas</v>
      </c>
      <c r="T25" s="163"/>
      <c r="U25" s="163">
        <v>0.25</v>
      </c>
      <c r="V25" s="163"/>
      <c r="W25" s="56">
        <f t="shared" si="6"/>
        <v>0.5</v>
      </c>
      <c r="X25" s="59">
        <f t="shared" si="7"/>
        <v>1</v>
      </c>
      <c r="Y25" s="55" t="str">
        <f t="shared" si="8"/>
        <v>Nivel del indicador que satisface y supera las expectativas</v>
      </c>
      <c r="Z25" s="57"/>
      <c r="AA25" s="57"/>
      <c r="AB25" s="214">
        <v>0.25</v>
      </c>
      <c r="AC25" s="56">
        <f t="shared" si="9"/>
        <v>0.75</v>
      </c>
      <c r="AD25" s="59">
        <v>1</v>
      </c>
      <c r="AE25" s="55" t="str">
        <f t="shared" si="10"/>
        <v>Nivel del indicador que satisface y supera las expectativas</v>
      </c>
      <c r="AF25" s="57"/>
      <c r="AG25" s="57"/>
      <c r="AH25" s="57"/>
      <c r="AI25" s="56">
        <f t="shared" si="11"/>
        <v>0.75</v>
      </c>
      <c r="AJ25" s="59">
        <f t="shared" si="12"/>
        <v>0.75</v>
      </c>
      <c r="AK25" s="55" t="str">
        <f t="shared" si="13"/>
        <v>Nivel Aceptable del Indicador</v>
      </c>
      <c r="AP25" s="52">
        <f t="shared" si="14"/>
        <v>1</v>
      </c>
      <c r="AQ25" s="52">
        <f t="shared" si="15"/>
        <v>0.25</v>
      </c>
      <c r="AR25" s="52">
        <f t="shared" si="16"/>
        <v>0.25</v>
      </c>
      <c r="AS25" s="79">
        <f t="shared" si="17"/>
        <v>1</v>
      </c>
      <c r="AT25" s="79">
        <f t="shared" si="18"/>
        <v>0.25</v>
      </c>
      <c r="AU25" s="52">
        <f t="shared" si="19"/>
        <v>0.5</v>
      </c>
      <c r="AV25" s="77">
        <f t="shared" si="20"/>
        <v>0.75</v>
      </c>
      <c r="AW25" s="79">
        <f t="shared" si="21"/>
        <v>1.5</v>
      </c>
      <c r="AX25" s="79">
        <f t="shared" si="22"/>
        <v>0.75</v>
      </c>
      <c r="AY25" s="52">
        <f t="shared" si="23"/>
        <v>0.75</v>
      </c>
      <c r="AZ25" s="77">
        <f t="shared" si="24"/>
        <v>1.5</v>
      </c>
      <c r="BA25" s="79">
        <f t="shared" si="25"/>
        <v>2</v>
      </c>
      <c r="BB25" s="79">
        <f t="shared" si="26"/>
        <v>1.5</v>
      </c>
      <c r="BC25" s="52">
        <f t="shared" si="27"/>
        <v>1</v>
      </c>
      <c r="BD25" s="77">
        <f t="shared" si="28"/>
        <v>2.25</v>
      </c>
      <c r="BE25" s="79">
        <f t="shared" si="29"/>
        <v>2.25</v>
      </c>
      <c r="BF25" s="79">
        <f t="shared" si="30"/>
        <v>2.25</v>
      </c>
    </row>
    <row r="26" spans="1:58" ht="45" x14ac:dyDescent="0.25">
      <c r="A26" s="294"/>
      <c r="B26" s="57" t="s">
        <v>234</v>
      </c>
      <c r="C26" s="54" t="s">
        <v>253</v>
      </c>
      <c r="D26" s="96" t="s">
        <v>586</v>
      </c>
      <c r="E26" s="96">
        <v>1</v>
      </c>
      <c r="F26" s="206">
        <v>0.25</v>
      </c>
      <c r="G26" s="206">
        <f t="shared" si="1"/>
        <v>0.25</v>
      </c>
      <c r="H26" s="206">
        <v>2</v>
      </c>
      <c r="I26" s="206">
        <f t="shared" si="2"/>
        <v>0.5</v>
      </c>
      <c r="J26" s="206">
        <v>0.75</v>
      </c>
      <c r="K26" s="206">
        <f t="shared" si="3"/>
        <v>0.75</v>
      </c>
      <c r="L26" s="206">
        <v>1</v>
      </c>
      <c r="M26" s="206">
        <f t="shared" si="4"/>
        <v>1</v>
      </c>
      <c r="N26" s="131">
        <v>0</v>
      </c>
      <c r="O26" s="131">
        <v>0</v>
      </c>
      <c r="P26" s="131">
        <v>0.25</v>
      </c>
      <c r="Q26" s="57">
        <f t="shared" si="31"/>
        <v>0.25</v>
      </c>
      <c r="R26" s="59">
        <f t="shared" si="32"/>
        <v>1</v>
      </c>
      <c r="S26" s="55" t="str">
        <f t="shared" si="35"/>
        <v>Nivel del indicador que satisface y supera las expectativas</v>
      </c>
      <c r="T26" s="163"/>
      <c r="U26" s="163">
        <v>0.25</v>
      </c>
      <c r="V26" s="163"/>
      <c r="W26" s="56">
        <f t="shared" si="6"/>
        <v>0.5</v>
      </c>
      <c r="X26" s="59">
        <f t="shared" si="7"/>
        <v>1</v>
      </c>
      <c r="Y26" s="55" t="str">
        <f t="shared" si="8"/>
        <v>Nivel del indicador que satisface y supera las expectativas</v>
      </c>
      <c r="Z26" s="57"/>
      <c r="AA26" s="57"/>
      <c r="AB26" s="214">
        <v>0.25</v>
      </c>
      <c r="AC26" s="56">
        <f t="shared" si="9"/>
        <v>0.75</v>
      </c>
      <c r="AD26" s="59">
        <v>1</v>
      </c>
      <c r="AE26" s="55" t="str">
        <f t="shared" si="10"/>
        <v>Nivel del indicador que satisface y supera las expectativas</v>
      </c>
      <c r="AF26" s="57"/>
      <c r="AG26" s="57"/>
      <c r="AH26" s="57"/>
      <c r="AI26" s="56">
        <f t="shared" si="11"/>
        <v>0.75</v>
      </c>
      <c r="AJ26" s="59">
        <f t="shared" si="12"/>
        <v>0.75</v>
      </c>
      <c r="AK26" s="55" t="str">
        <f t="shared" si="13"/>
        <v>Nivel Aceptable del Indicador</v>
      </c>
      <c r="AP26" s="52">
        <f t="shared" si="14"/>
        <v>1</v>
      </c>
      <c r="AQ26" s="52">
        <f t="shared" si="15"/>
        <v>0.25</v>
      </c>
      <c r="AR26" s="52">
        <f t="shared" si="16"/>
        <v>0.25</v>
      </c>
      <c r="AS26" s="79">
        <f t="shared" si="17"/>
        <v>1</v>
      </c>
      <c r="AT26" s="79">
        <f t="shared" si="18"/>
        <v>0.25</v>
      </c>
      <c r="AU26" s="52">
        <f t="shared" si="19"/>
        <v>0.5</v>
      </c>
      <c r="AV26" s="77">
        <f t="shared" si="20"/>
        <v>0.75</v>
      </c>
      <c r="AW26" s="79">
        <f t="shared" si="21"/>
        <v>1.5</v>
      </c>
      <c r="AX26" s="79">
        <f t="shared" si="22"/>
        <v>0.75</v>
      </c>
      <c r="AY26" s="52">
        <f t="shared" si="23"/>
        <v>0.75</v>
      </c>
      <c r="AZ26" s="77">
        <f t="shared" si="24"/>
        <v>1.5</v>
      </c>
      <c r="BA26" s="79">
        <f t="shared" si="25"/>
        <v>2</v>
      </c>
      <c r="BB26" s="79">
        <f t="shared" si="26"/>
        <v>1.5</v>
      </c>
      <c r="BC26" s="52">
        <f t="shared" si="27"/>
        <v>1</v>
      </c>
      <c r="BD26" s="77">
        <f t="shared" si="28"/>
        <v>2.25</v>
      </c>
      <c r="BE26" s="79">
        <f t="shared" si="29"/>
        <v>2.25</v>
      </c>
      <c r="BF26" s="79">
        <f t="shared" si="30"/>
        <v>2.25</v>
      </c>
    </row>
    <row r="27" spans="1:58" ht="30" x14ac:dyDescent="0.25">
      <c r="A27" s="57" t="s">
        <v>235</v>
      </c>
      <c r="B27" s="57" t="s">
        <v>236</v>
      </c>
      <c r="C27" s="54" t="s">
        <v>254</v>
      </c>
      <c r="D27" s="96" t="s">
        <v>587</v>
      </c>
      <c r="E27" s="96">
        <v>35</v>
      </c>
      <c r="F27" s="206">
        <v>0.25</v>
      </c>
      <c r="G27" s="206">
        <f t="shared" si="1"/>
        <v>8.75</v>
      </c>
      <c r="H27" s="206">
        <v>2</v>
      </c>
      <c r="I27" s="206">
        <f t="shared" si="2"/>
        <v>17.5</v>
      </c>
      <c r="J27" s="206">
        <v>0.75</v>
      </c>
      <c r="K27" s="206">
        <f t="shared" si="3"/>
        <v>26.25</v>
      </c>
      <c r="L27" s="206">
        <v>1</v>
      </c>
      <c r="M27" s="206">
        <f t="shared" si="4"/>
        <v>35</v>
      </c>
      <c r="N27" s="131">
        <v>0</v>
      </c>
      <c r="O27" s="131">
        <v>0</v>
      </c>
      <c r="P27" s="131">
        <v>8.75</v>
      </c>
      <c r="Q27" s="57">
        <f t="shared" si="31"/>
        <v>8.75</v>
      </c>
      <c r="R27" s="59">
        <f t="shared" si="32"/>
        <v>1</v>
      </c>
      <c r="S27" s="55" t="str">
        <f t="shared" si="35"/>
        <v>Nivel del indicador que satisface y supera las expectativas</v>
      </c>
      <c r="T27" s="163"/>
      <c r="U27" s="163">
        <v>8.75</v>
      </c>
      <c r="V27" s="163"/>
      <c r="W27" s="56">
        <f t="shared" si="6"/>
        <v>17.5</v>
      </c>
      <c r="X27" s="59">
        <f t="shared" si="7"/>
        <v>1</v>
      </c>
      <c r="Y27" s="55" t="str">
        <f t="shared" si="8"/>
        <v>Nivel del indicador que satisface y supera las expectativas</v>
      </c>
      <c r="Z27" s="57"/>
      <c r="AA27" s="57"/>
      <c r="AB27" s="214">
        <v>8.75</v>
      </c>
      <c r="AC27" s="56">
        <f t="shared" si="9"/>
        <v>26.25</v>
      </c>
      <c r="AD27" s="59">
        <f t="shared" si="34"/>
        <v>1</v>
      </c>
      <c r="AE27" s="55" t="str">
        <f t="shared" si="10"/>
        <v>Nivel del indicador que satisface y supera las expectativas</v>
      </c>
      <c r="AF27" s="57"/>
      <c r="AG27" s="57"/>
      <c r="AH27" s="57"/>
      <c r="AI27" s="56">
        <f t="shared" si="11"/>
        <v>26.25</v>
      </c>
      <c r="AJ27" s="59">
        <f t="shared" si="12"/>
        <v>0.75</v>
      </c>
      <c r="AK27" s="55" t="str">
        <f t="shared" si="13"/>
        <v>Nivel Aceptable del Indicador</v>
      </c>
      <c r="AP27" s="52">
        <f t="shared" si="14"/>
        <v>35</v>
      </c>
      <c r="AQ27" s="52">
        <f t="shared" si="15"/>
        <v>8.75</v>
      </c>
      <c r="AR27" s="52">
        <f t="shared" si="16"/>
        <v>8.75</v>
      </c>
      <c r="AS27" s="79">
        <f t="shared" si="17"/>
        <v>1</v>
      </c>
      <c r="AT27" s="79">
        <f t="shared" si="18"/>
        <v>0.25</v>
      </c>
      <c r="AU27" s="52">
        <f t="shared" si="19"/>
        <v>17.5</v>
      </c>
      <c r="AV27" s="77">
        <f t="shared" si="20"/>
        <v>17.75</v>
      </c>
      <c r="AW27" s="79">
        <f t="shared" si="21"/>
        <v>1.0142857142857142</v>
      </c>
      <c r="AX27" s="79">
        <f t="shared" si="22"/>
        <v>0.50714285714285712</v>
      </c>
      <c r="AY27" s="52">
        <f t="shared" si="23"/>
        <v>26.25</v>
      </c>
      <c r="AZ27" s="77">
        <f t="shared" si="24"/>
        <v>44</v>
      </c>
      <c r="BA27" s="79">
        <f t="shared" si="25"/>
        <v>1.6761904761904762</v>
      </c>
      <c r="BB27" s="79">
        <f t="shared" si="26"/>
        <v>1.2571428571428571</v>
      </c>
      <c r="BC27" s="52">
        <f t="shared" si="27"/>
        <v>35</v>
      </c>
      <c r="BD27" s="77">
        <f t="shared" si="28"/>
        <v>70.25</v>
      </c>
      <c r="BE27" s="79">
        <f t="shared" si="29"/>
        <v>2.0071428571428571</v>
      </c>
      <c r="BF27" s="79">
        <f t="shared" si="30"/>
        <v>2.0071428571428571</v>
      </c>
    </row>
    <row r="28" spans="1:58" ht="45" x14ac:dyDescent="0.25">
      <c r="A28" s="292" t="s">
        <v>237</v>
      </c>
      <c r="B28" s="57" t="s">
        <v>238</v>
      </c>
      <c r="C28" s="54" t="s">
        <v>255</v>
      </c>
      <c r="D28" s="96" t="s">
        <v>586</v>
      </c>
      <c r="E28" s="96">
        <v>1</v>
      </c>
      <c r="F28" s="206">
        <v>0.25</v>
      </c>
      <c r="G28" s="206">
        <f t="shared" si="1"/>
        <v>0.25</v>
      </c>
      <c r="H28" s="206">
        <v>2</v>
      </c>
      <c r="I28" s="206">
        <f t="shared" si="2"/>
        <v>0.5</v>
      </c>
      <c r="J28" s="206">
        <v>0.75</v>
      </c>
      <c r="K28" s="206">
        <f t="shared" si="3"/>
        <v>0.75</v>
      </c>
      <c r="L28" s="206">
        <v>1</v>
      </c>
      <c r="M28" s="206">
        <f t="shared" si="4"/>
        <v>1</v>
      </c>
      <c r="N28" s="131">
        <v>0</v>
      </c>
      <c r="O28" s="131">
        <v>0</v>
      </c>
      <c r="P28" s="131">
        <v>0.25</v>
      </c>
      <c r="Q28" s="57">
        <f t="shared" si="31"/>
        <v>0.25</v>
      </c>
      <c r="R28" s="59">
        <f t="shared" si="32"/>
        <v>1</v>
      </c>
      <c r="S28" s="55" t="str">
        <f t="shared" si="35"/>
        <v>Nivel del indicador que satisface y supera las expectativas</v>
      </c>
      <c r="T28" s="163"/>
      <c r="U28" s="163"/>
      <c r="V28" s="163">
        <v>0.25</v>
      </c>
      <c r="W28" s="56">
        <f t="shared" si="6"/>
        <v>0.5</v>
      </c>
      <c r="X28" s="59">
        <f t="shared" si="7"/>
        <v>1</v>
      </c>
      <c r="Y28" s="55" t="str">
        <f t="shared" si="8"/>
        <v>Nivel del indicador que satisface y supera las expectativas</v>
      </c>
      <c r="Z28" s="57"/>
      <c r="AA28" s="57"/>
      <c r="AB28" s="214">
        <v>0.25</v>
      </c>
      <c r="AC28" s="56">
        <f t="shared" si="9"/>
        <v>0.75</v>
      </c>
      <c r="AD28" s="59">
        <v>1</v>
      </c>
      <c r="AE28" s="55" t="str">
        <f t="shared" si="10"/>
        <v>Nivel del indicador que satisface y supera las expectativas</v>
      </c>
      <c r="AF28" s="57"/>
      <c r="AG28" s="57"/>
      <c r="AH28" s="57"/>
      <c r="AI28" s="56">
        <f t="shared" si="11"/>
        <v>0.75</v>
      </c>
      <c r="AJ28" s="59">
        <f t="shared" si="12"/>
        <v>0.75</v>
      </c>
      <c r="AK28" s="55" t="str">
        <f t="shared" si="13"/>
        <v>Nivel Aceptable del Indicador</v>
      </c>
      <c r="AP28" s="52">
        <f t="shared" si="14"/>
        <v>1</v>
      </c>
      <c r="AQ28" s="52">
        <f t="shared" si="15"/>
        <v>0.25</v>
      </c>
      <c r="AR28" s="52">
        <f t="shared" si="16"/>
        <v>0.25</v>
      </c>
      <c r="AS28" s="79">
        <f t="shared" si="17"/>
        <v>1</v>
      </c>
      <c r="AT28" s="79">
        <f t="shared" si="18"/>
        <v>0.25</v>
      </c>
      <c r="AU28" s="52">
        <f t="shared" si="19"/>
        <v>0.5</v>
      </c>
      <c r="AV28" s="77">
        <f t="shared" si="20"/>
        <v>0.75</v>
      </c>
      <c r="AW28" s="79">
        <f t="shared" si="21"/>
        <v>1.5</v>
      </c>
      <c r="AX28" s="79">
        <f t="shared" si="22"/>
        <v>0.75</v>
      </c>
      <c r="AY28" s="52">
        <f t="shared" si="23"/>
        <v>0.75</v>
      </c>
      <c r="AZ28" s="77">
        <f t="shared" si="24"/>
        <v>1.5</v>
      </c>
      <c r="BA28" s="79">
        <f t="shared" si="25"/>
        <v>2</v>
      </c>
      <c r="BB28" s="79">
        <f t="shared" si="26"/>
        <v>1.5</v>
      </c>
      <c r="BC28" s="52">
        <f t="shared" si="27"/>
        <v>1</v>
      </c>
      <c r="BD28" s="77">
        <f t="shared" si="28"/>
        <v>2.25</v>
      </c>
      <c r="BE28" s="79">
        <f t="shared" si="29"/>
        <v>2.25</v>
      </c>
      <c r="BF28" s="79">
        <f t="shared" si="30"/>
        <v>2.25</v>
      </c>
    </row>
    <row r="29" spans="1:58" ht="30" x14ac:dyDescent="0.25">
      <c r="A29" s="293"/>
      <c r="B29" s="57" t="s">
        <v>239</v>
      </c>
      <c r="C29" s="54" t="s">
        <v>256</v>
      </c>
      <c r="D29" s="96" t="s">
        <v>586</v>
      </c>
      <c r="E29" s="96">
        <v>1</v>
      </c>
      <c r="F29" s="206">
        <v>0.25</v>
      </c>
      <c r="G29" s="206">
        <f t="shared" si="1"/>
        <v>0.25</v>
      </c>
      <c r="H29" s="206">
        <v>2</v>
      </c>
      <c r="I29" s="206">
        <f t="shared" si="2"/>
        <v>0.5</v>
      </c>
      <c r="J29" s="206">
        <v>0.75</v>
      </c>
      <c r="K29" s="206">
        <f t="shared" si="3"/>
        <v>0.75</v>
      </c>
      <c r="L29" s="206">
        <v>1</v>
      </c>
      <c r="M29" s="206">
        <f t="shared" si="4"/>
        <v>1</v>
      </c>
      <c r="N29" s="131">
        <v>0</v>
      </c>
      <c r="O29" s="131">
        <v>0</v>
      </c>
      <c r="P29" s="131">
        <v>0.25</v>
      </c>
      <c r="Q29" s="57">
        <f t="shared" si="31"/>
        <v>0.25</v>
      </c>
      <c r="R29" s="59">
        <f t="shared" si="32"/>
        <v>1</v>
      </c>
      <c r="S29" s="55" t="str">
        <f t="shared" si="35"/>
        <v>Nivel del indicador que satisface y supera las expectativas</v>
      </c>
      <c r="T29" s="163"/>
      <c r="U29" s="163"/>
      <c r="V29" s="163">
        <v>0.25</v>
      </c>
      <c r="W29" s="56">
        <f t="shared" si="6"/>
        <v>0.5</v>
      </c>
      <c r="X29" s="59">
        <f t="shared" si="7"/>
        <v>1</v>
      </c>
      <c r="Y29" s="55" t="str">
        <f t="shared" si="8"/>
        <v>Nivel del indicador que satisface y supera las expectativas</v>
      </c>
      <c r="Z29" s="57"/>
      <c r="AA29" s="57"/>
      <c r="AB29" s="214">
        <v>0.25</v>
      </c>
      <c r="AC29" s="56">
        <f t="shared" si="9"/>
        <v>0.75</v>
      </c>
      <c r="AD29" s="59">
        <v>1</v>
      </c>
      <c r="AE29" s="55" t="str">
        <f t="shared" si="10"/>
        <v>Nivel del indicador que satisface y supera las expectativas</v>
      </c>
      <c r="AF29" s="57"/>
      <c r="AG29" s="57"/>
      <c r="AH29" s="57"/>
      <c r="AI29" s="56">
        <f t="shared" si="11"/>
        <v>0.75</v>
      </c>
      <c r="AJ29" s="59">
        <f t="shared" si="12"/>
        <v>0.75</v>
      </c>
      <c r="AK29" s="55" t="str">
        <f t="shared" si="13"/>
        <v>Nivel Aceptable del Indicador</v>
      </c>
      <c r="AP29" s="52">
        <f t="shared" si="14"/>
        <v>1</v>
      </c>
      <c r="AQ29" s="52">
        <f t="shared" si="15"/>
        <v>0.25</v>
      </c>
      <c r="AR29" s="52">
        <f t="shared" si="16"/>
        <v>0.25</v>
      </c>
      <c r="AS29" s="79">
        <f t="shared" si="17"/>
        <v>1</v>
      </c>
      <c r="AT29" s="79">
        <f t="shared" si="18"/>
        <v>0.25</v>
      </c>
      <c r="AU29" s="52">
        <f t="shared" si="19"/>
        <v>0.5</v>
      </c>
      <c r="AV29" s="77">
        <f t="shared" si="20"/>
        <v>0.75</v>
      </c>
      <c r="AW29" s="79">
        <f t="shared" si="21"/>
        <v>1.5</v>
      </c>
      <c r="AX29" s="79">
        <f t="shared" si="22"/>
        <v>0.75</v>
      </c>
      <c r="AY29" s="52">
        <f t="shared" si="23"/>
        <v>0.75</v>
      </c>
      <c r="AZ29" s="77">
        <f t="shared" si="24"/>
        <v>1.5</v>
      </c>
      <c r="BA29" s="79">
        <f t="shared" si="25"/>
        <v>2</v>
      </c>
      <c r="BB29" s="79">
        <f t="shared" si="26"/>
        <v>1.5</v>
      </c>
      <c r="BC29" s="52">
        <f t="shared" si="27"/>
        <v>1</v>
      </c>
      <c r="BD29" s="77">
        <f t="shared" si="28"/>
        <v>2.25</v>
      </c>
      <c r="BE29" s="79">
        <f t="shared" si="29"/>
        <v>2.25</v>
      </c>
      <c r="BF29" s="79">
        <f t="shared" si="30"/>
        <v>2.25</v>
      </c>
    </row>
    <row r="30" spans="1:58" ht="22.5" customHeight="1" x14ac:dyDescent="0.25">
      <c r="A30" s="294"/>
      <c r="B30" s="57" t="s">
        <v>240</v>
      </c>
      <c r="C30" s="54" t="s">
        <v>257</v>
      </c>
      <c r="D30" s="96" t="s">
        <v>588</v>
      </c>
      <c r="E30" s="96">
        <v>1</v>
      </c>
      <c r="F30" s="206">
        <v>0.25</v>
      </c>
      <c r="G30" s="206">
        <f t="shared" si="1"/>
        <v>0.25</v>
      </c>
      <c r="H30" s="206">
        <v>2</v>
      </c>
      <c r="I30" s="206">
        <f t="shared" si="2"/>
        <v>0.5</v>
      </c>
      <c r="J30" s="206">
        <v>0.75</v>
      </c>
      <c r="K30" s="206">
        <f t="shared" si="3"/>
        <v>0.75</v>
      </c>
      <c r="L30" s="206">
        <v>1</v>
      </c>
      <c r="M30" s="206">
        <f t="shared" si="4"/>
        <v>1</v>
      </c>
      <c r="N30" s="131">
        <v>0</v>
      </c>
      <c r="O30" s="131">
        <v>0</v>
      </c>
      <c r="P30" s="131">
        <v>0.25</v>
      </c>
      <c r="Q30" s="57">
        <f t="shared" si="31"/>
        <v>0.25</v>
      </c>
      <c r="R30" s="59">
        <f t="shared" si="32"/>
        <v>1</v>
      </c>
      <c r="S30" s="55" t="str">
        <f t="shared" si="35"/>
        <v>Nivel del indicador que satisface y supera las expectativas</v>
      </c>
      <c r="T30" s="163"/>
      <c r="U30" s="163"/>
      <c r="V30" s="163">
        <v>0.25</v>
      </c>
      <c r="W30" s="56">
        <f t="shared" si="6"/>
        <v>0.5</v>
      </c>
      <c r="X30" s="59">
        <f t="shared" si="7"/>
        <v>1</v>
      </c>
      <c r="Y30" s="55" t="str">
        <f t="shared" si="8"/>
        <v>Nivel del indicador que satisface y supera las expectativas</v>
      </c>
      <c r="Z30" s="57"/>
      <c r="AA30" s="57"/>
      <c r="AB30" s="214">
        <v>0.25</v>
      </c>
      <c r="AC30" s="56">
        <f t="shared" si="9"/>
        <v>0.75</v>
      </c>
      <c r="AD30" s="59">
        <v>1</v>
      </c>
      <c r="AE30" s="55" t="str">
        <f t="shared" si="10"/>
        <v>Nivel del indicador que satisface y supera las expectativas</v>
      </c>
      <c r="AF30" s="57"/>
      <c r="AG30" s="57"/>
      <c r="AH30" s="57"/>
      <c r="AI30" s="56">
        <f t="shared" si="11"/>
        <v>0.75</v>
      </c>
      <c r="AJ30" s="59">
        <f t="shared" si="12"/>
        <v>0.75</v>
      </c>
      <c r="AK30" s="55" t="str">
        <f t="shared" si="13"/>
        <v>Nivel Aceptable del Indicador</v>
      </c>
      <c r="AP30" s="52">
        <f t="shared" si="14"/>
        <v>1</v>
      </c>
      <c r="AQ30" s="52">
        <f t="shared" si="15"/>
        <v>0.25</v>
      </c>
      <c r="AR30" s="52">
        <f t="shared" si="16"/>
        <v>0.25</v>
      </c>
      <c r="AS30" s="79">
        <f t="shared" si="17"/>
        <v>1</v>
      </c>
      <c r="AT30" s="79">
        <f t="shared" si="18"/>
        <v>0.25</v>
      </c>
      <c r="AU30" s="52">
        <f t="shared" si="19"/>
        <v>0.5</v>
      </c>
      <c r="AV30" s="77">
        <f t="shared" si="20"/>
        <v>0.75</v>
      </c>
      <c r="AW30" s="79">
        <f t="shared" si="21"/>
        <v>1.5</v>
      </c>
      <c r="AX30" s="79">
        <f t="shared" si="22"/>
        <v>0.75</v>
      </c>
      <c r="AY30" s="52">
        <f t="shared" si="23"/>
        <v>0.75</v>
      </c>
      <c r="AZ30" s="77">
        <f t="shared" si="24"/>
        <v>1.5</v>
      </c>
      <c r="BA30" s="79">
        <f t="shared" si="25"/>
        <v>2</v>
      </c>
      <c r="BB30" s="79">
        <f t="shared" si="26"/>
        <v>1.5</v>
      </c>
      <c r="BC30" s="52">
        <f t="shared" si="27"/>
        <v>1</v>
      </c>
      <c r="BD30" s="77">
        <f t="shared" si="28"/>
        <v>2.25</v>
      </c>
      <c r="BE30" s="79">
        <f t="shared" si="29"/>
        <v>2.25</v>
      </c>
      <c r="BF30" s="79">
        <f t="shared" si="30"/>
        <v>2.25</v>
      </c>
    </row>
    <row r="31" spans="1:58" ht="21.75" customHeight="1" x14ac:dyDescent="0.25">
      <c r="A31" s="292" t="s">
        <v>241</v>
      </c>
      <c r="B31" s="57" t="s">
        <v>242</v>
      </c>
      <c r="C31" s="54" t="s">
        <v>258</v>
      </c>
      <c r="D31" s="295" t="s">
        <v>585</v>
      </c>
      <c r="E31" s="96">
        <v>8</v>
      </c>
      <c r="F31" s="206">
        <v>0.25</v>
      </c>
      <c r="G31" s="206">
        <f t="shared" si="1"/>
        <v>2</v>
      </c>
      <c r="H31" s="206">
        <v>2</v>
      </c>
      <c r="I31" s="206">
        <f t="shared" si="2"/>
        <v>4</v>
      </c>
      <c r="J31" s="206">
        <v>0.75</v>
      </c>
      <c r="K31" s="206">
        <f t="shared" si="3"/>
        <v>6</v>
      </c>
      <c r="L31" s="206">
        <v>1</v>
      </c>
      <c r="M31" s="206">
        <f t="shared" si="4"/>
        <v>8</v>
      </c>
      <c r="N31" s="131">
        <v>0</v>
      </c>
      <c r="O31" s="131">
        <v>2</v>
      </c>
      <c r="P31" s="131">
        <v>0</v>
      </c>
      <c r="Q31" s="57">
        <f t="shared" si="31"/>
        <v>2</v>
      </c>
      <c r="R31" s="59">
        <f t="shared" si="32"/>
        <v>1</v>
      </c>
      <c r="S31" s="55" t="str">
        <f t="shared" si="35"/>
        <v>Nivel del indicador que satisface y supera las expectativas</v>
      </c>
      <c r="T31" s="163"/>
      <c r="U31" s="163"/>
      <c r="V31" s="163">
        <v>2</v>
      </c>
      <c r="W31" s="56">
        <f t="shared" si="6"/>
        <v>4</v>
      </c>
      <c r="X31" s="59">
        <f t="shared" si="7"/>
        <v>1</v>
      </c>
      <c r="Y31" s="55" t="str">
        <f t="shared" si="8"/>
        <v>Nivel del indicador que satisface y supera las expectativas</v>
      </c>
      <c r="Z31" s="57"/>
      <c r="AA31" s="57"/>
      <c r="AB31" s="214">
        <v>2</v>
      </c>
      <c r="AC31" s="56">
        <f t="shared" si="9"/>
        <v>6</v>
      </c>
      <c r="AD31" s="59">
        <f t="shared" si="34"/>
        <v>1</v>
      </c>
      <c r="AE31" s="55" t="str">
        <f t="shared" si="10"/>
        <v>Nivel del indicador que satisface y supera las expectativas</v>
      </c>
      <c r="AF31" s="57"/>
      <c r="AG31" s="57"/>
      <c r="AH31" s="57"/>
      <c r="AI31" s="56">
        <f t="shared" si="11"/>
        <v>6</v>
      </c>
      <c r="AJ31" s="59">
        <f t="shared" si="12"/>
        <v>0.75</v>
      </c>
      <c r="AK31" s="55" t="str">
        <f t="shared" si="13"/>
        <v>Nivel Aceptable del Indicador</v>
      </c>
      <c r="AP31" s="52">
        <f t="shared" si="14"/>
        <v>8</v>
      </c>
      <c r="AQ31" s="52">
        <f t="shared" si="15"/>
        <v>2</v>
      </c>
      <c r="AR31" s="52">
        <f t="shared" si="16"/>
        <v>2</v>
      </c>
      <c r="AS31" s="79">
        <f t="shared" si="17"/>
        <v>1</v>
      </c>
      <c r="AT31" s="79">
        <f t="shared" si="18"/>
        <v>0.25</v>
      </c>
      <c r="AU31" s="52">
        <f t="shared" si="19"/>
        <v>4</v>
      </c>
      <c r="AV31" s="77">
        <f t="shared" si="20"/>
        <v>4.25</v>
      </c>
      <c r="AW31" s="79">
        <f t="shared" si="21"/>
        <v>1.0625</v>
      </c>
      <c r="AX31" s="79">
        <f t="shared" si="22"/>
        <v>0.53125</v>
      </c>
      <c r="AY31" s="52">
        <f t="shared" si="23"/>
        <v>6</v>
      </c>
      <c r="AZ31" s="77">
        <f t="shared" si="24"/>
        <v>10.25</v>
      </c>
      <c r="BA31" s="79">
        <f t="shared" si="25"/>
        <v>1.7083333333333333</v>
      </c>
      <c r="BB31" s="79">
        <f t="shared" si="26"/>
        <v>1.28125</v>
      </c>
      <c r="BC31" s="52">
        <f t="shared" si="27"/>
        <v>8</v>
      </c>
      <c r="BD31" s="77">
        <f t="shared" si="28"/>
        <v>16.25</v>
      </c>
      <c r="BE31" s="79">
        <f t="shared" si="29"/>
        <v>2.03125</v>
      </c>
      <c r="BF31" s="79">
        <f t="shared" si="30"/>
        <v>2.03125</v>
      </c>
    </row>
    <row r="32" spans="1:58" ht="33.75" customHeight="1" x14ac:dyDescent="0.25">
      <c r="A32" s="293"/>
      <c r="B32" s="57" t="s">
        <v>243</v>
      </c>
      <c r="C32" s="54" t="s">
        <v>259</v>
      </c>
      <c r="D32" s="296"/>
      <c r="E32" s="96">
        <v>8</v>
      </c>
      <c r="F32" s="206">
        <v>0.25</v>
      </c>
      <c r="G32" s="206">
        <f t="shared" si="1"/>
        <v>2</v>
      </c>
      <c r="H32" s="206">
        <v>2</v>
      </c>
      <c r="I32" s="206">
        <f t="shared" si="2"/>
        <v>4</v>
      </c>
      <c r="J32" s="206">
        <v>0.75</v>
      </c>
      <c r="K32" s="206">
        <f t="shared" si="3"/>
        <v>6</v>
      </c>
      <c r="L32" s="206">
        <v>1</v>
      </c>
      <c r="M32" s="206">
        <f t="shared" si="4"/>
        <v>8</v>
      </c>
      <c r="N32" s="131">
        <v>0</v>
      </c>
      <c r="O32" s="131">
        <v>2</v>
      </c>
      <c r="P32" s="131">
        <v>0</v>
      </c>
      <c r="Q32" s="57">
        <f t="shared" si="31"/>
        <v>2</v>
      </c>
      <c r="R32" s="59">
        <f t="shared" si="32"/>
        <v>1</v>
      </c>
      <c r="S32" s="55" t="str">
        <f t="shared" si="35"/>
        <v>Nivel del indicador que satisface y supera las expectativas</v>
      </c>
      <c r="T32" s="163"/>
      <c r="U32" s="163"/>
      <c r="V32" s="163">
        <v>2</v>
      </c>
      <c r="W32" s="56">
        <f t="shared" si="6"/>
        <v>4</v>
      </c>
      <c r="X32" s="59">
        <f t="shared" si="7"/>
        <v>1</v>
      </c>
      <c r="Y32" s="55" t="str">
        <f t="shared" si="8"/>
        <v>Nivel del indicador que satisface y supera las expectativas</v>
      </c>
      <c r="Z32" s="57"/>
      <c r="AA32" s="57"/>
      <c r="AB32" s="214">
        <v>2</v>
      </c>
      <c r="AC32" s="56">
        <f t="shared" si="9"/>
        <v>6</v>
      </c>
      <c r="AD32" s="59">
        <f t="shared" si="34"/>
        <v>1</v>
      </c>
      <c r="AE32" s="55" t="str">
        <f t="shared" si="10"/>
        <v>Nivel del indicador que satisface y supera las expectativas</v>
      </c>
      <c r="AF32" s="57"/>
      <c r="AG32" s="57"/>
      <c r="AH32" s="57"/>
      <c r="AI32" s="56">
        <f t="shared" si="11"/>
        <v>6</v>
      </c>
      <c r="AJ32" s="59">
        <f t="shared" si="12"/>
        <v>0.75</v>
      </c>
      <c r="AK32" s="55" t="str">
        <f t="shared" si="13"/>
        <v>Nivel Aceptable del Indicador</v>
      </c>
      <c r="AP32" s="52">
        <f t="shared" si="14"/>
        <v>8</v>
      </c>
      <c r="AQ32" s="52">
        <f t="shared" si="15"/>
        <v>2</v>
      </c>
      <c r="AR32" s="52">
        <f t="shared" si="16"/>
        <v>2</v>
      </c>
      <c r="AS32" s="79">
        <f t="shared" si="17"/>
        <v>1</v>
      </c>
      <c r="AT32" s="79">
        <f t="shared" si="18"/>
        <v>0.25</v>
      </c>
      <c r="AU32" s="52">
        <f t="shared" si="19"/>
        <v>4</v>
      </c>
      <c r="AV32" s="77">
        <f t="shared" si="20"/>
        <v>4.25</v>
      </c>
      <c r="AW32" s="79">
        <f t="shared" si="21"/>
        <v>1.0625</v>
      </c>
      <c r="AX32" s="79">
        <f t="shared" si="22"/>
        <v>0.53125</v>
      </c>
      <c r="AY32" s="52">
        <f t="shared" si="23"/>
        <v>6</v>
      </c>
      <c r="AZ32" s="77">
        <f t="shared" si="24"/>
        <v>10.25</v>
      </c>
      <c r="BA32" s="79">
        <f t="shared" si="25"/>
        <v>1.7083333333333333</v>
      </c>
      <c r="BB32" s="79">
        <f t="shared" si="26"/>
        <v>1.28125</v>
      </c>
      <c r="BC32" s="52">
        <f t="shared" si="27"/>
        <v>8</v>
      </c>
      <c r="BD32" s="77">
        <f t="shared" si="28"/>
        <v>16.25</v>
      </c>
      <c r="BE32" s="79">
        <f t="shared" si="29"/>
        <v>2.03125</v>
      </c>
      <c r="BF32" s="79">
        <f t="shared" si="30"/>
        <v>2.03125</v>
      </c>
    </row>
    <row r="33" spans="1:60" ht="30" x14ac:dyDescent="0.25">
      <c r="A33" s="294"/>
      <c r="B33" s="57" t="s">
        <v>244</v>
      </c>
      <c r="C33" s="54" t="s">
        <v>260</v>
      </c>
      <c r="D33" s="297"/>
      <c r="E33" s="58">
        <v>8</v>
      </c>
      <c r="F33" s="206">
        <v>0.25</v>
      </c>
      <c r="G33" s="206">
        <f t="shared" si="1"/>
        <v>2</v>
      </c>
      <c r="H33" s="206">
        <v>2</v>
      </c>
      <c r="I33" s="206">
        <f t="shared" si="2"/>
        <v>4</v>
      </c>
      <c r="J33" s="206">
        <v>0.75</v>
      </c>
      <c r="K33" s="206">
        <f t="shared" si="3"/>
        <v>6</v>
      </c>
      <c r="L33" s="206">
        <v>1</v>
      </c>
      <c r="M33" s="206">
        <f t="shared" si="4"/>
        <v>8</v>
      </c>
      <c r="N33" s="131">
        <v>0</v>
      </c>
      <c r="O33" s="131">
        <v>2</v>
      </c>
      <c r="P33" s="131">
        <v>0</v>
      </c>
      <c r="Q33" s="57">
        <f t="shared" si="31"/>
        <v>2</v>
      </c>
      <c r="R33" s="59">
        <f t="shared" si="32"/>
        <v>1</v>
      </c>
      <c r="S33" s="55" t="str">
        <f t="shared" si="35"/>
        <v>Nivel del indicador que satisface y supera las expectativas</v>
      </c>
      <c r="T33" s="163"/>
      <c r="U33" s="163"/>
      <c r="V33" s="163">
        <v>2</v>
      </c>
      <c r="W33" s="56">
        <f t="shared" si="6"/>
        <v>4</v>
      </c>
      <c r="X33" s="59">
        <f t="shared" si="7"/>
        <v>1</v>
      </c>
      <c r="Y33" s="55" t="str">
        <f t="shared" si="8"/>
        <v>Nivel del indicador que satisface y supera las expectativas</v>
      </c>
      <c r="Z33" s="57"/>
      <c r="AA33" s="57"/>
      <c r="AB33" s="214">
        <v>2</v>
      </c>
      <c r="AC33" s="56">
        <f t="shared" si="9"/>
        <v>6</v>
      </c>
      <c r="AD33" s="59">
        <f t="shared" si="34"/>
        <v>1</v>
      </c>
      <c r="AE33" s="55" t="str">
        <f t="shared" si="10"/>
        <v>Nivel del indicador que satisface y supera las expectativas</v>
      </c>
      <c r="AF33" s="57"/>
      <c r="AG33" s="57"/>
      <c r="AH33" s="57"/>
      <c r="AI33" s="56">
        <f t="shared" si="11"/>
        <v>6</v>
      </c>
      <c r="AJ33" s="59">
        <f t="shared" si="12"/>
        <v>0.75</v>
      </c>
      <c r="AK33" s="55" t="str">
        <f t="shared" si="13"/>
        <v>Nivel Aceptable del Indicador</v>
      </c>
      <c r="AP33" s="52">
        <f t="shared" si="14"/>
        <v>8</v>
      </c>
      <c r="AQ33" s="52">
        <f t="shared" si="15"/>
        <v>2</v>
      </c>
      <c r="AR33" s="52">
        <f t="shared" si="16"/>
        <v>2</v>
      </c>
      <c r="AS33" s="79">
        <f t="shared" si="17"/>
        <v>1</v>
      </c>
      <c r="AT33" s="79">
        <f t="shared" si="18"/>
        <v>0.25</v>
      </c>
      <c r="AU33" s="52">
        <f t="shared" si="19"/>
        <v>4</v>
      </c>
      <c r="AV33" s="77">
        <f t="shared" si="20"/>
        <v>4.25</v>
      </c>
      <c r="AW33" s="79">
        <f t="shared" si="21"/>
        <v>1.0625</v>
      </c>
      <c r="AX33" s="79">
        <f t="shared" si="22"/>
        <v>0.53125</v>
      </c>
      <c r="AY33" s="52">
        <f t="shared" si="23"/>
        <v>6</v>
      </c>
      <c r="AZ33" s="77">
        <f t="shared" si="24"/>
        <v>10.25</v>
      </c>
      <c r="BA33" s="79">
        <f t="shared" si="25"/>
        <v>1.7083333333333333</v>
      </c>
      <c r="BB33" s="79">
        <f t="shared" si="26"/>
        <v>1.28125</v>
      </c>
      <c r="BC33" s="52">
        <f t="shared" si="27"/>
        <v>8</v>
      </c>
      <c r="BD33" s="77">
        <f t="shared" si="28"/>
        <v>16.25</v>
      </c>
      <c r="BE33" s="79">
        <f t="shared" si="29"/>
        <v>2.03125</v>
      </c>
      <c r="BF33" s="79">
        <f t="shared" si="30"/>
        <v>2.03125</v>
      </c>
    </row>
    <row r="34" spans="1:60" ht="42" customHeight="1" x14ac:dyDescent="0.25">
      <c r="A34" s="292" t="s">
        <v>295</v>
      </c>
      <c r="B34" s="57" t="s">
        <v>296</v>
      </c>
      <c r="C34" s="58" t="s">
        <v>297</v>
      </c>
      <c r="D34" s="58" t="s">
        <v>589</v>
      </c>
      <c r="E34" s="58">
        <v>4</v>
      </c>
      <c r="F34" s="206">
        <v>0.25</v>
      </c>
      <c r="G34" s="206">
        <f t="shared" si="1"/>
        <v>1</v>
      </c>
      <c r="H34" s="206">
        <v>2</v>
      </c>
      <c r="I34" s="206">
        <f t="shared" si="2"/>
        <v>2</v>
      </c>
      <c r="J34" s="206">
        <v>0.75</v>
      </c>
      <c r="K34" s="206">
        <f t="shared" si="3"/>
        <v>3</v>
      </c>
      <c r="L34" s="206">
        <v>1</v>
      </c>
      <c r="M34" s="206">
        <f t="shared" si="4"/>
        <v>4</v>
      </c>
      <c r="N34" s="147">
        <v>2</v>
      </c>
      <c r="O34" s="147">
        <v>0</v>
      </c>
      <c r="P34" s="147">
        <v>0</v>
      </c>
      <c r="Q34" s="57">
        <f>N34+O34+P34</f>
        <v>2</v>
      </c>
      <c r="R34" s="59">
        <v>1</v>
      </c>
      <c r="S34" s="55" t="str">
        <f t="shared" si="35"/>
        <v>Nivel del indicador que satisface y supera las expectativas</v>
      </c>
      <c r="T34" s="163">
        <v>0</v>
      </c>
      <c r="U34" s="163">
        <v>0</v>
      </c>
      <c r="V34" s="163">
        <v>1</v>
      </c>
      <c r="W34" s="56">
        <f>T34+U34+V34+Q34</f>
        <v>3</v>
      </c>
      <c r="X34" s="59">
        <v>1</v>
      </c>
      <c r="Y34" s="55" t="str">
        <f>IF(AND(E34&gt;0,W34=0),"¡¡Ojo No se Ejecutaron Actividades!!",IF(X34="","",IF(X34&lt;15.99%,"Se ha avanzado muy poco o nada en este indicador",IF(X34&lt;=36.99%,"Nivel Aceptable del Indicador",IF(X34&lt;=49.99%,"Nivel del indicador que cumple las expectativas","Nivel del indicador que satisface y supera las expectativas")))))</f>
        <v>Nivel del indicador que satisface y supera las expectativas</v>
      </c>
      <c r="Z34" s="57"/>
      <c r="AA34" s="57"/>
      <c r="AB34" s="214">
        <v>4</v>
      </c>
      <c r="AC34" s="243">
        <f>Z34+AA34+AB34</f>
        <v>4</v>
      </c>
      <c r="AD34" s="59">
        <v>1</v>
      </c>
      <c r="AE34" s="55" t="str">
        <f>IF(AND(E34&gt;0,AC34=0),"¡¡Ojo No se Ejecutaron Actividades!!",IF(AD34="","",IF(AD34&lt;24.99%,"Se ha avanzado muy poco o nada en este indicador",IF(AD34&lt;=55.99%,"Nivel Aceptable del Indicador",IF(AD34&lt;=74.99%,"Nivel del indicador que cumple las expectativas","Nivel del indicador que satisface y supera las expectativas")))))</f>
        <v>Nivel del indicador que satisface y supera las expectativas</v>
      </c>
      <c r="AF34" s="57"/>
      <c r="AG34" s="57"/>
      <c r="AH34" s="57"/>
      <c r="AI34" s="56">
        <f t="shared" si="11"/>
        <v>4</v>
      </c>
      <c r="AJ34" s="59">
        <f>IFERROR((IF(AI34&gt;0,AI34/E34,"")),0)</f>
        <v>1</v>
      </c>
      <c r="AK34" s="55" t="str">
        <f>IF(AND(E34&gt;0,AI34=0),"¡¡Ojo No se Ejecutaron Actividades!!",IF(AJ34="","",IF(AJ34&lt;33.99%,"Se ha avanzado muy poco o nada en este indicador",IF(AJ34&lt;=75.99%,"Nivel Aceptable del Indicador",IF(AJ34&lt;=98.99%,"Nivel del indicador que cumple las expectativas","Nivel del indicador que satisface y supera las expectativas")))))</f>
        <v>Nivel del indicador que satisface y supera las expectativas</v>
      </c>
      <c r="AP34" s="52">
        <f>E34</f>
        <v>4</v>
      </c>
      <c r="AQ34" s="52">
        <f>AP34/4</f>
        <v>1</v>
      </c>
      <c r="AR34" s="52">
        <f>Q34</f>
        <v>2</v>
      </c>
      <c r="AS34" s="79">
        <f>IFERROR((AR34/AQ34),0)</f>
        <v>2</v>
      </c>
      <c r="AT34" s="79">
        <f>IFERROR((((AR34*25)/AQ34)/100),0)</f>
        <v>0.5</v>
      </c>
      <c r="AU34" s="52">
        <f>AP34/2</f>
        <v>2</v>
      </c>
      <c r="AV34" s="77">
        <f>W34+AT34</f>
        <v>3.5</v>
      </c>
      <c r="AW34" s="79">
        <f>IFERROR((AV34/AU34),0)</f>
        <v>1.75</v>
      </c>
      <c r="AX34" s="79">
        <f>IFERROR((((AV34*50)/AU34)/100),0)</f>
        <v>0.875</v>
      </c>
      <c r="AY34" s="52">
        <f>AQ34+AU34</f>
        <v>3</v>
      </c>
      <c r="AZ34" s="77">
        <f>AC34+AV34</f>
        <v>7.5</v>
      </c>
      <c r="BA34" s="79">
        <f>IFERROR((AZ34/AY34),0)</f>
        <v>2.5</v>
      </c>
      <c r="BB34" s="79">
        <f>IFERROR((((AZ34*75)/AY34)/100),0)</f>
        <v>1.875</v>
      </c>
      <c r="BC34" s="52">
        <f>AY34+AQ34</f>
        <v>4</v>
      </c>
      <c r="BD34" s="77">
        <f>AI34+AZ34</f>
        <v>11.5</v>
      </c>
      <c r="BE34" s="79">
        <f>IFERROR((BD34/BC34),0)</f>
        <v>2.875</v>
      </c>
      <c r="BF34" s="79">
        <f>IFERROR((((BD34*100)/BC34)/100),0)</f>
        <v>2.875</v>
      </c>
      <c r="BG34" s="52"/>
      <c r="BH34" s="52"/>
    </row>
    <row r="35" spans="1:60" ht="75" x14ac:dyDescent="0.25">
      <c r="A35" s="293"/>
      <c r="B35" s="57" t="s">
        <v>298</v>
      </c>
      <c r="C35" s="58" t="s">
        <v>299</v>
      </c>
      <c r="D35" s="58" t="s">
        <v>590</v>
      </c>
      <c r="E35" s="58">
        <v>4</v>
      </c>
      <c r="F35" s="206">
        <v>0.25</v>
      </c>
      <c r="G35" s="206">
        <f t="shared" si="1"/>
        <v>1</v>
      </c>
      <c r="H35" s="206">
        <v>2</v>
      </c>
      <c r="I35" s="206">
        <f t="shared" si="2"/>
        <v>2</v>
      </c>
      <c r="J35" s="206">
        <v>0.75</v>
      </c>
      <c r="K35" s="206">
        <f t="shared" si="3"/>
        <v>3</v>
      </c>
      <c r="L35" s="206">
        <v>1</v>
      </c>
      <c r="M35" s="206">
        <f t="shared" si="4"/>
        <v>4</v>
      </c>
      <c r="N35" s="147">
        <v>0</v>
      </c>
      <c r="O35" s="147">
        <v>0</v>
      </c>
      <c r="P35" s="147">
        <v>7</v>
      </c>
      <c r="Q35" s="57">
        <f t="shared" ref="Q35:Q68" si="36">N35+O35+P35</f>
        <v>7</v>
      </c>
      <c r="R35" s="59">
        <v>1</v>
      </c>
      <c r="S35" s="55" t="str">
        <f t="shared" si="35"/>
        <v>Nivel del indicador que satisface y supera las expectativas</v>
      </c>
      <c r="T35" s="163">
        <v>0</v>
      </c>
      <c r="U35" s="163">
        <v>1</v>
      </c>
      <c r="V35" s="163">
        <v>0</v>
      </c>
      <c r="W35" s="56">
        <f t="shared" si="6"/>
        <v>8</v>
      </c>
      <c r="X35" s="59">
        <v>1</v>
      </c>
      <c r="Y35" s="55" t="str">
        <f t="shared" ref="Y35:Y68" si="37">IF(AND(E35&gt;0,W35=0),"¡¡Ojo No se Ejecutaron Actividades!!",IF(X35="","",IF(X35&lt;15.99%,"Se ha avanzado muy poco o nada en este indicador",IF(X35&lt;=36.99%,"Nivel Aceptable del Indicador",IF(X35&lt;=49.99%,"Nivel del indicador que cumple las expectativas","Nivel del indicador que satisface y supera las expectativas")))))</f>
        <v>Nivel del indicador que satisface y supera las expectativas</v>
      </c>
      <c r="Z35" s="57"/>
      <c r="AA35" s="57"/>
      <c r="AB35" s="214">
        <v>8</v>
      </c>
      <c r="AC35" s="243">
        <f t="shared" ref="AC35:AC68" si="38">Z35+AA35+AB35</f>
        <v>8</v>
      </c>
      <c r="AD35" s="59">
        <v>1</v>
      </c>
      <c r="AE35" s="55" t="str">
        <f t="shared" ref="AE35:AE68" si="39">IF(AND(E35&gt;0,AC35=0),"¡¡Ojo No se Ejecutaron Actividades!!",IF(AD35="","",IF(AD35&lt;24.99%,"Se ha avanzado muy poco o nada en este indicador",IF(AD35&lt;=55.99%,"Nivel Aceptable del Indicador",IF(AD35&lt;=74.99%,"Nivel del indicador que cumple las expectativas","Nivel del indicador que satisface y supera las expectativas")))))</f>
        <v>Nivel del indicador que satisface y supera las expectativas</v>
      </c>
      <c r="AF35" s="57"/>
      <c r="AG35" s="57"/>
      <c r="AH35" s="57"/>
      <c r="AI35" s="56">
        <f t="shared" si="11"/>
        <v>8</v>
      </c>
      <c r="AJ35" s="59">
        <f t="shared" ref="AJ35:AJ68" si="40">IFERROR((IF(AI35&gt;0,AI35/E35,"")),0)</f>
        <v>2</v>
      </c>
      <c r="AK35" s="55" t="str">
        <f t="shared" ref="AK35:AK68" si="41">IF(AND(E35&gt;0,AI35=0),"¡¡Ojo No se Ejecutaron Actividades!!",IF(AJ35="","",IF(AJ35&lt;33.99%,"Se ha avanzado muy poco o nada en este indicador",IF(AJ35&lt;=75.99%,"Nivel Aceptable del Indicador",IF(AJ35&lt;=98.99%,"Nivel del indicador que cumple las expectativas","Nivel del indicador que satisface y supera las expectativas")))))</f>
        <v>Nivel del indicador que satisface y supera las expectativas</v>
      </c>
      <c r="AP35" s="52">
        <f t="shared" ref="AP35:AP68" si="42">E35</f>
        <v>4</v>
      </c>
      <c r="AQ35" s="52">
        <f t="shared" ref="AQ35:AQ68" si="43">AP35/4</f>
        <v>1</v>
      </c>
      <c r="AR35" s="52">
        <f t="shared" ref="AR35:AR68" si="44">Q35</f>
        <v>7</v>
      </c>
      <c r="AS35" s="79">
        <f t="shared" ref="AS35:AS68" si="45">IFERROR((AR35/AQ35),0)</f>
        <v>7</v>
      </c>
      <c r="AT35" s="79">
        <f t="shared" ref="AT35:AT68" si="46">IFERROR((((AR35*25)/AQ35)/100),0)</f>
        <v>1.75</v>
      </c>
      <c r="AU35" s="52">
        <f t="shared" ref="AU35:AU68" si="47">AP35/2</f>
        <v>2</v>
      </c>
      <c r="AV35" s="77">
        <f t="shared" ref="AV35:AV68" si="48">W35+AT35</f>
        <v>9.75</v>
      </c>
      <c r="AW35" s="79">
        <f t="shared" ref="AW35:AW68" si="49">IFERROR((AV35/AU35),0)</f>
        <v>4.875</v>
      </c>
      <c r="AX35" s="79">
        <f t="shared" ref="AX35:AX68" si="50">IFERROR((((AV35*50)/AU35)/100),0)</f>
        <v>2.4375</v>
      </c>
      <c r="AY35" s="52">
        <f t="shared" ref="AY35:AY68" si="51">AQ35+AU35</f>
        <v>3</v>
      </c>
      <c r="AZ35" s="77">
        <f t="shared" ref="AZ35:AZ68" si="52">AC35+AV35</f>
        <v>17.75</v>
      </c>
      <c r="BA35" s="79">
        <f t="shared" ref="BA35:BA68" si="53">IFERROR((AZ35/AY35),0)</f>
        <v>5.916666666666667</v>
      </c>
      <c r="BB35" s="79">
        <f t="shared" ref="BB35:BB68" si="54">IFERROR((((AZ35*75)/AY35)/100),0)</f>
        <v>4.4375</v>
      </c>
      <c r="BC35" s="52">
        <f t="shared" ref="BC35:BC68" si="55">AY35+AQ35</f>
        <v>4</v>
      </c>
      <c r="BD35" s="77">
        <f t="shared" ref="BD35:BD68" si="56">AI35+AZ35</f>
        <v>25.75</v>
      </c>
      <c r="BE35" s="79">
        <f t="shared" ref="BE35:BE68" si="57">IFERROR((BD35/BC35),0)</f>
        <v>6.4375</v>
      </c>
      <c r="BF35" s="79">
        <f t="shared" ref="BF35:BF68" si="58">IFERROR((((BD35*100)/BC35)/100),0)</f>
        <v>6.4375</v>
      </c>
    </row>
    <row r="36" spans="1:60" ht="37.5" customHeight="1" x14ac:dyDescent="0.25">
      <c r="A36" s="293"/>
      <c r="B36" s="57" t="s">
        <v>300</v>
      </c>
      <c r="C36" s="58" t="s">
        <v>301</v>
      </c>
      <c r="D36" s="58" t="s">
        <v>591</v>
      </c>
      <c r="E36" s="58">
        <v>5</v>
      </c>
      <c r="F36" s="206">
        <v>0.25</v>
      </c>
      <c r="G36" s="206">
        <f t="shared" si="1"/>
        <v>1.25</v>
      </c>
      <c r="H36" s="206">
        <v>2</v>
      </c>
      <c r="I36" s="206">
        <f t="shared" si="2"/>
        <v>2.5</v>
      </c>
      <c r="J36" s="206">
        <v>0.75</v>
      </c>
      <c r="K36" s="206">
        <f t="shared" si="3"/>
        <v>3.75</v>
      </c>
      <c r="L36" s="206">
        <v>1</v>
      </c>
      <c r="M36" s="206">
        <f t="shared" si="4"/>
        <v>5</v>
      </c>
      <c r="N36" s="147">
        <v>1</v>
      </c>
      <c r="O36" s="147">
        <v>11</v>
      </c>
      <c r="P36" s="147">
        <v>0</v>
      </c>
      <c r="Q36" s="57">
        <f t="shared" si="36"/>
        <v>12</v>
      </c>
      <c r="R36" s="59">
        <v>1</v>
      </c>
      <c r="S36" s="55" t="str">
        <f t="shared" si="35"/>
        <v>Nivel del indicador que satisface y supera las expectativas</v>
      </c>
      <c r="T36" s="163">
        <v>4</v>
      </c>
      <c r="U36" s="163">
        <v>1</v>
      </c>
      <c r="V36" s="163">
        <v>0</v>
      </c>
      <c r="W36" s="56">
        <f t="shared" si="6"/>
        <v>17</v>
      </c>
      <c r="X36" s="59">
        <v>1</v>
      </c>
      <c r="Y36" s="55" t="str">
        <f t="shared" si="37"/>
        <v>Nivel del indicador que satisface y supera las expectativas</v>
      </c>
      <c r="Z36" s="57"/>
      <c r="AA36" s="57"/>
      <c r="AB36" s="214">
        <v>24</v>
      </c>
      <c r="AC36" s="243">
        <f t="shared" si="38"/>
        <v>24</v>
      </c>
      <c r="AD36" s="59">
        <v>1</v>
      </c>
      <c r="AE36" s="55" t="str">
        <f t="shared" si="39"/>
        <v>Nivel del indicador que satisface y supera las expectativas</v>
      </c>
      <c r="AF36" s="57"/>
      <c r="AG36" s="57"/>
      <c r="AH36" s="57"/>
      <c r="AI36" s="56">
        <f t="shared" si="11"/>
        <v>24</v>
      </c>
      <c r="AJ36" s="59">
        <f t="shared" si="40"/>
        <v>4.8</v>
      </c>
      <c r="AK36" s="55" t="str">
        <f t="shared" si="41"/>
        <v>Nivel del indicador que satisface y supera las expectativas</v>
      </c>
      <c r="AP36" s="52">
        <f t="shared" si="42"/>
        <v>5</v>
      </c>
      <c r="AQ36" s="52">
        <f t="shared" si="43"/>
        <v>1.25</v>
      </c>
      <c r="AR36" s="52">
        <f t="shared" si="44"/>
        <v>12</v>
      </c>
      <c r="AS36" s="79">
        <f t="shared" si="45"/>
        <v>9.6</v>
      </c>
      <c r="AT36" s="79">
        <f t="shared" si="46"/>
        <v>2.4</v>
      </c>
      <c r="AU36" s="52">
        <f t="shared" si="47"/>
        <v>2.5</v>
      </c>
      <c r="AV36" s="77">
        <f t="shared" si="48"/>
        <v>19.399999999999999</v>
      </c>
      <c r="AW36" s="79">
        <f t="shared" si="49"/>
        <v>7.76</v>
      </c>
      <c r="AX36" s="79">
        <f t="shared" si="50"/>
        <v>3.8799999999999994</v>
      </c>
      <c r="AY36" s="52">
        <f t="shared" si="51"/>
        <v>3.75</v>
      </c>
      <c r="AZ36" s="77">
        <f t="shared" si="52"/>
        <v>43.4</v>
      </c>
      <c r="BA36" s="79">
        <f t="shared" si="53"/>
        <v>11.573333333333332</v>
      </c>
      <c r="BB36" s="79">
        <f t="shared" si="54"/>
        <v>8.68</v>
      </c>
      <c r="BC36" s="52">
        <f t="shared" si="55"/>
        <v>5</v>
      </c>
      <c r="BD36" s="77">
        <f t="shared" si="56"/>
        <v>67.400000000000006</v>
      </c>
      <c r="BE36" s="79">
        <f t="shared" si="57"/>
        <v>13.48</v>
      </c>
      <c r="BF36" s="79">
        <f t="shared" si="58"/>
        <v>13.480000000000002</v>
      </c>
    </row>
    <row r="37" spans="1:60" ht="75" x14ac:dyDescent="0.25">
      <c r="A37" s="293"/>
      <c r="B37" s="57" t="s">
        <v>302</v>
      </c>
      <c r="C37" s="58" t="s">
        <v>303</v>
      </c>
      <c r="D37" s="58" t="s">
        <v>592</v>
      </c>
      <c r="E37" s="58">
        <v>1</v>
      </c>
      <c r="F37" s="206">
        <v>0.25</v>
      </c>
      <c r="G37" s="206">
        <f t="shared" si="1"/>
        <v>0.25</v>
      </c>
      <c r="H37" s="206">
        <v>2</v>
      </c>
      <c r="I37" s="206">
        <f t="shared" si="2"/>
        <v>0.5</v>
      </c>
      <c r="J37" s="206">
        <v>0.75</v>
      </c>
      <c r="K37" s="206">
        <f t="shared" si="3"/>
        <v>0.75</v>
      </c>
      <c r="L37" s="206">
        <v>1</v>
      </c>
      <c r="M37" s="206">
        <f t="shared" si="4"/>
        <v>1</v>
      </c>
      <c r="N37" s="147">
        <v>0</v>
      </c>
      <c r="O37" s="147">
        <v>0</v>
      </c>
      <c r="P37" s="147">
        <v>0.3</v>
      </c>
      <c r="Q37" s="57">
        <f t="shared" si="36"/>
        <v>0.3</v>
      </c>
      <c r="R37" s="59">
        <v>1</v>
      </c>
      <c r="S37" s="55" t="str">
        <f t="shared" si="35"/>
        <v>Nivel del indicador que satisface y supera las expectativas</v>
      </c>
      <c r="T37" s="163">
        <v>0.1</v>
      </c>
      <c r="U37" s="163">
        <v>0.1</v>
      </c>
      <c r="V37" s="163">
        <v>0.1</v>
      </c>
      <c r="W37" s="243">
        <f t="shared" si="6"/>
        <v>0.60000000000000009</v>
      </c>
      <c r="X37" s="59">
        <v>1</v>
      </c>
      <c r="Y37" s="55" t="str">
        <f t="shared" si="37"/>
        <v>Nivel del indicador que satisface y supera las expectativas</v>
      </c>
      <c r="Z37" s="57"/>
      <c r="AA37" s="57"/>
      <c r="AB37" s="214">
        <v>0.75000000000000011</v>
      </c>
      <c r="AC37" s="243">
        <f t="shared" si="38"/>
        <v>0.75000000000000011</v>
      </c>
      <c r="AD37" s="59">
        <f t="shared" si="34"/>
        <v>1.0000000000000002</v>
      </c>
      <c r="AE37" s="55" t="str">
        <f t="shared" si="39"/>
        <v>Nivel del indicador que satisface y supera las expectativas</v>
      </c>
      <c r="AF37" s="57"/>
      <c r="AG37" s="57"/>
      <c r="AH37" s="57"/>
      <c r="AI37" s="56">
        <f t="shared" si="11"/>
        <v>0.75000000000000011</v>
      </c>
      <c r="AJ37" s="59">
        <f t="shared" si="40"/>
        <v>0.75000000000000011</v>
      </c>
      <c r="AK37" s="55" t="str">
        <f t="shared" si="41"/>
        <v>Nivel Aceptable del Indicador</v>
      </c>
      <c r="AP37" s="52">
        <f t="shared" si="42"/>
        <v>1</v>
      </c>
      <c r="AQ37" s="52">
        <f t="shared" si="43"/>
        <v>0.25</v>
      </c>
      <c r="AR37" s="52">
        <f t="shared" si="44"/>
        <v>0.3</v>
      </c>
      <c r="AS37" s="79">
        <f t="shared" si="45"/>
        <v>1.2</v>
      </c>
      <c r="AT37" s="79">
        <f t="shared" si="46"/>
        <v>0.3</v>
      </c>
      <c r="AU37" s="52">
        <f t="shared" si="47"/>
        <v>0.5</v>
      </c>
      <c r="AV37" s="77">
        <f t="shared" si="48"/>
        <v>0.90000000000000013</v>
      </c>
      <c r="AW37" s="79">
        <f t="shared" si="49"/>
        <v>1.8000000000000003</v>
      </c>
      <c r="AX37" s="79">
        <f t="shared" si="50"/>
        <v>0.90000000000000013</v>
      </c>
      <c r="AY37" s="52">
        <f t="shared" si="51"/>
        <v>0.75</v>
      </c>
      <c r="AZ37" s="77">
        <f t="shared" si="52"/>
        <v>1.6500000000000004</v>
      </c>
      <c r="BA37" s="79">
        <f t="shared" si="53"/>
        <v>2.2000000000000006</v>
      </c>
      <c r="BB37" s="79">
        <f t="shared" si="54"/>
        <v>1.6500000000000004</v>
      </c>
      <c r="BC37" s="52">
        <f t="shared" si="55"/>
        <v>1</v>
      </c>
      <c r="BD37" s="77">
        <f t="shared" si="56"/>
        <v>2.4000000000000004</v>
      </c>
      <c r="BE37" s="79">
        <f t="shared" si="57"/>
        <v>2.4000000000000004</v>
      </c>
      <c r="BF37" s="79">
        <f t="shared" si="58"/>
        <v>2.4000000000000004</v>
      </c>
    </row>
    <row r="38" spans="1:60" ht="30" x14ac:dyDescent="0.25">
      <c r="A38" s="293"/>
      <c r="B38" s="57" t="s">
        <v>304</v>
      </c>
      <c r="C38" s="58" t="s">
        <v>567</v>
      </c>
      <c r="D38" s="58" t="s">
        <v>593</v>
      </c>
      <c r="E38" s="98">
        <v>20</v>
      </c>
      <c r="F38" s="206">
        <v>0.25</v>
      </c>
      <c r="G38" s="206">
        <f t="shared" si="1"/>
        <v>5</v>
      </c>
      <c r="H38" s="206">
        <v>2</v>
      </c>
      <c r="I38" s="206">
        <f t="shared" si="2"/>
        <v>10</v>
      </c>
      <c r="J38" s="206">
        <v>0.75</v>
      </c>
      <c r="K38" s="206">
        <f t="shared" si="3"/>
        <v>15</v>
      </c>
      <c r="L38" s="206">
        <v>1</v>
      </c>
      <c r="M38" s="206">
        <f t="shared" si="4"/>
        <v>20</v>
      </c>
      <c r="N38" s="147">
        <v>0</v>
      </c>
      <c r="O38" s="147">
        <v>2</v>
      </c>
      <c r="P38" s="147">
        <v>0</v>
      </c>
      <c r="Q38" s="57">
        <f t="shared" si="36"/>
        <v>2</v>
      </c>
      <c r="R38" s="59">
        <f t="shared" si="32"/>
        <v>0.4</v>
      </c>
      <c r="S38" s="55" t="str">
        <f t="shared" si="35"/>
        <v>Nivel del indicador que satisface y supera las expectativas</v>
      </c>
      <c r="T38" s="163">
        <v>5</v>
      </c>
      <c r="U38" s="163">
        <v>2</v>
      </c>
      <c r="V38" s="163">
        <v>1</v>
      </c>
      <c r="W38" s="56">
        <f t="shared" si="6"/>
        <v>10</v>
      </c>
      <c r="X38" s="59">
        <f t="shared" si="7"/>
        <v>1</v>
      </c>
      <c r="Y38" s="55" t="str">
        <f t="shared" si="37"/>
        <v>Nivel del indicador que satisface y supera las expectativas</v>
      </c>
      <c r="Z38" s="57"/>
      <c r="AA38" s="57"/>
      <c r="AB38" s="214">
        <v>12</v>
      </c>
      <c r="AC38" s="243">
        <f t="shared" si="38"/>
        <v>12</v>
      </c>
      <c r="AD38" s="59">
        <f t="shared" si="34"/>
        <v>0.8</v>
      </c>
      <c r="AE38" s="55" t="str">
        <f t="shared" si="39"/>
        <v>Nivel del indicador que satisface y supera las expectativas</v>
      </c>
      <c r="AF38" s="57"/>
      <c r="AG38" s="57"/>
      <c r="AH38" s="57"/>
      <c r="AI38" s="238">
        <f t="shared" si="11"/>
        <v>12</v>
      </c>
      <c r="AJ38" s="59">
        <f t="shared" si="40"/>
        <v>0.6</v>
      </c>
      <c r="AK38" s="55" t="str">
        <f t="shared" si="41"/>
        <v>Nivel Aceptable del Indicador</v>
      </c>
      <c r="AP38" s="52">
        <f t="shared" si="42"/>
        <v>20</v>
      </c>
      <c r="AQ38" s="52">
        <f t="shared" si="43"/>
        <v>5</v>
      </c>
      <c r="AR38" s="52">
        <f t="shared" si="44"/>
        <v>2</v>
      </c>
      <c r="AS38" s="79">
        <f t="shared" si="45"/>
        <v>0.4</v>
      </c>
      <c r="AT38" s="79">
        <f t="shared" si="46"/>
        <v>0.1</v>
      </c>
      <c r="AU38" s="52">
        <f t="shared" si="47"/>
        <v>10</v>
      </c>
      <c r="AV38" s="77">
        <f t="shared" si="48"/>
        <v>10.1</v>
      </c>
      <c r="AW38" s="79">
        <f t="shared" si="49"/>
        <v>1.01</v>
      </c>
      <c r="AX38" s="79">
        <f t="shared" si="50"/>
        <v>0.505</v>
      </c>
      <c r="AY38" s="52">
        <f t="shared" si="51"/>
        <v>15</v>
      </c>
      <c r="AZ38" s="77">
        <f t="shared" si="52"/>
        <v>22.1</v>
      </c>
      <c r="BA38" s="79">
        <f t="shared" si="53"/>
        <v>1.4733333333333334</v>
      </c>
      <c r="BB38" s="79">
        <f t="shared" si="54"/>
        <v>1.105</v>
      </c>
      <c r="BC38" s="52">
        <f t="shared" si="55"/>
        <v>20</v>
      </c>
      <c r="BD38" s="77">
        <f t="shared" si="56"/>
        <v>34.1</v>
      </c>
      <c r="BE38" s="79">
        <f t="shared" si="57"/>
        <v>1.7050000000000001</v>
      </c>
      <c r="BF38" s="79">
        <f t="shared" si="58"/>
        <v>1.7050000000000001</v>
      </c>
    </row>
    <row r="39" spans="1:60" ht="105" x14ac:dyDescent="0.25">
      <c r="A39" s="293"/>
      <c r="B39" s="57" t="s">
        <v>305</v>
      </c>
      <c r="C39" s="58" t="s">
        <v>306</v>
      </c>
      <c r="D39" s="58" t="s">
        <v>594</v>
      </c>
      <c r="E39" s="58">
        <v>1</v>
      </c>
      <c r="F39" s="206">
        <v>0.25</v>
      </c>
      <c r="G39" s="206">
        <f t="shared" si="1"/>
        <v>0.25</v>
      </c>
      <c r="H39" s="206">
        <v>2</v>
      </c>
      <c r="I39" s="206">
        <f t="shared" si="2"/>
        <v>0.5</v>
      </c>
      <c r="J39" s="206">
        <v>0.75</v>
      </c>
      <c r="K39" s="206">
        <f t="shared" si="3"/>
        <v>0.75</v>
      </c>
      <c r="L39" s="206">
        <v>1</v>
      </c>
      <c r="M39" s="206">
        <f t="shared" si="4"/>
        <v>1</v>
      </c>
      <c r="N39" s="147">
        <v>0</v>
      </c>
      <c r="O39" s="147">
        <v>0</v>
      </c>
      <c r="P39" s="147">
        <v>0.35</v>
      </c>
      <c r="Q39" s="57">
        <f t="shared" si="36"/>
        <v>0.35</v>
      </c>
      <c r="R39" s="59">
        <v>1</v>
      </c>
      <c r="S39" s="55" t="str">
        <f t="shared" si="35"/>
        <v>Nivel del indicador que satisface y supera las expectativas</v>
      </c>
      <c r="T39" s="163">
        <v>4.9999999999999996E-2</v>
      </c>
      <c r="U39" s="163">
        <v>4.9999999999999996E-2</v>
      </c>
      <c r="V39" s="163">
        <v>4.9999999999999996E-2</v>
      </c>
      <c r="W39" s="56">
        <f t="shared" si="6"/>
        <v>0.5</v>
      </c>
      <c r="X39" s="59">
        <f t="shared" si="7"/>
        <v>1</v>
      </c>
      <c r="Y39" s="55" t="str">
        <f t="shared" si="37"/>
        <v>Nivel del indicador que satisface y supera las expectativas</v>
      </c>
      <c r="Z39" s="57"/>
      <c r="AA39" s="57"/>
      <c r="AB39" s="214">
        <v>0.49999999999999994</v>
      </c>
      <c r="AC39" s="243">
        <f t="shared" si="38"/>
        <v>0.49999999999999994</v>
      </c>
      <c r="AD39" s="59">
        <f t="shared" si="34"/>
        <v>0.66666666666666663</v>
      </c>
      <c r="AE39" s="55" t="str">
        <f t="shared" si="39"/>
        <v>Nivel del indicador que cumple las expectativas</v>
      </c>
      <c r="AF39" s="57"/>
      <c r="AG39" s="57"/>
      <c r="AH39" s="57"/>
      <c r="AI39" s="238">
        <f t="shared" si="11"/>
        <v>0.49999999999999994</v>
      </c>
      <c r="AJ39" s="59">
        <f t="shared" si="40"/>
        <v>0.49999999999999994</v>
      </c>
      <c r="AK39" s="55" t="str">
        <f t="shared" si="41"/>
        <v>Nivel Aceptable del Indicador</v>
      </c>
      <c r="AP39" s="52">
        <f t="shared" si="42"/>
        <v>1</v>
      </c>
      <c r="AQ39" s="52">
        <f t="shared" si="43"/>
        <v>0.25</v>
      </c>
      <c r="AR39" s="52">
        <f t="shared" si="44"/>
        <v>0.35</v>
      </c>
      <c r="AS39" s="79">
        <f t="shared" si="45"/>
        <v>1.4</v>
      </c>
      <c r="AT39" s="79">
        <f t="shared" si="46"/>
        <v>0.35</v>
      </c>
      <c r="AU39" s="52">
        <f t="shared" si="47"/>
        <v>0.5</v>
      </c>
      <c r="AV39" s="77">
        <f t="shared" si="48"/>
        <v>0.85</v>
      </c>
      <c r="AW39" s="79">
        <f t="shared" si="49"/>
        <v>1.7</v>
      </c>
      <c r="AX39" s="79">
        <f t="shared" si="50"/>
        <v>0.85</v>
      </c>
      <c r="AY39" s="52">
        <f t="shared" si="51"/>
        <v>0.75</v>
      </c>
      <c r="AZ39" s="77">
        <f t="shared" si="52"/>
        <v>1.3499999999999999</v>
      </c>
      <c r="BA39" s="79">
        <f t="shared" si="53"/>
        <v>1.7999999999999998</v>
      </c>
      <c r="BB39" s="79">
        <f t="shared" si="54"/>
        <v>1.3499999999999996</v>
      </c>
      <c r="BC39" s="52">
        <f t="shared" si="55"/>
        <v>1</v>
      </c>
      <c r="BD39" s="77">
        <f t="shared" si="56"/>
        <v>1.8499999999999999</v>
      </c>
      <c r="BE39" s="79">
        <f t="shared" si="57"/>
        <v>1.8499999999999999</v>
      </c>
      <c r="BF39" s="79">
        <f t="shared" si="58"/>
        <v>1.85</v>
      </c>
    </row>
    <row r="40" spans="1:60" ht="30" x14ac:dyDescent="0.25">
      <c r="A40" s="293"/>
      <c r="B40" s="57" t="s">
        <v>307</v>
      </c>
      <c r="C40" s="58" t="s">
        <v>308</v>
      </c>
      <c r="D40" s="58" t="s">
        <v>595</v>
      </c>
      <c r="E40" s="98">
        <v>7</v>
      </c>
      <c r="F40" s="206">
        <v>0.25</v>
      </c>
      <c r="G40" s="206">
        <f t="shared" si="1"/>
        <v>1.75</v>
      </c>
      <c r="H40" s="206">
        <v>2</v>
      </c>
      <c r="I40" s="206">
        <f t="shared" si="2"/>
        <v>3.5</v>
      </c>
      <c r="J40" s="206">
        <v>0.75</v>
      </c>
      <c r="K40" s="206">
        <f t="shared" si="3"/>
        <v>5.25</v>
      </c>
      <c r="L40" s="206">
        <v>1</v>
      </c>
      <c r="M40" s="206">
        <f t="shared" si="4"/>
        <v>7</v>
      </c>
      <c r="N40" s="147">
        <v>0</v>
      </c>
      <c r="O40" s="147">
        <v>2</v>
      </c>
      <c r="P40" s="147">
        <v>0</v>
      </c>
      <c r="Q40" s="146">
        <f t="shared" si="36"/>
        <v>2</v>
      </c>
      <c r="R40" s="59">
        <v>1</v>
      </c>
      <c r="S40" s="55" t="str">
        <f t="shared" ref="S40:S41" si="59">IF(AND(E40&gt;0,Q40=0),"¡¡Ojo No se Ejecutaron Actividades!!",IF(R40="","",IF(R40&lt;8.99%,"Se ha avanzado muy poco o nada en este indicador",IF(R40&lt;=19.99%,"Nivel Aceptable del Indicador",IF(R40&lt;=24.99%,"Nivel del indicador que cumple las expectativas","Nivel del indicador que satisface y supera las expectativas")))))</f>
        <v>Nivel del indicador que satisface y supera las expectativas</v>
      </c>
      <c r="T40" s="163">
        <v>1</v>
      </c>
      <c r="U40" s="163">
        <v>1</v>
      </c>
      <c r="V40" s="163">
        <v>0</v>
      </c>
      <c r="W40" s="56">
        <f t="shared" si="6"/>
        <v>4</v>
      </c>
      <c r="X40" s="59">
        <v>1</v>
      </c>
      <c r="Y40" s="55" t="str">
        <f t="shared" ref="Y40" si="60">IF(AND(E40&gt;0,W40=0),"¡¡Ojo No se Ejecutaron Actividades!!",IF(X40="","",IF(X40&lt;15.99%,"Se ha avanzado muy poco o nada en este indicador",IF(X40&lt;=36.99%,"Nivel Aceptable del Indicador",IF(X40&lt;=49.99%,"Nivel del indicador que cumple las expectativas","Nivel del indicador que satisface y supera las expectativas")))))</f>
        <v>Nivel del indicador que satisface y supera las expectativas</v>
      </c>
      <c r="Z40" s="57"/>
      <c r="AA40" s="57"/>
      <c r="AB40" s="214">
        <v>7</v>
      </c>
      <c r="AC40" s="243">
        <f t="shared" si="38"/>
        <v>7</v>
      </c>
      <c r="AD40" s="59">
        <v>1</v>
      </c>
      <c r="AE40" s="55" t="str">
        <f t="shared" si="39"/>
        <v>Nivel del indicador que satisface y supera las expectativas</v>
      </c>
      <c r="AF40" s="57"/>
      <c r="AG40" s="57"/>
      <c r="AH40" s="57"/>
      <c r="AI40" s="56">
        <f t="shared" si="11"/>
        <v>7</v>
      </c>
      <c r="AJ40" s="59"/>
      <c r="AK40" s="55"/>
      <c r="AP40" s="52"/>
      <c r="AQ40" s="52"/>
      <c r="AR40" s="52"/>
      <c r="AS40" s="79"/>
      <c r="AT40" s="79"/>
      <c r="AU40" s="52"/>
      <c r="AV40" s="77"/>
      <c r="AW40" s="79"/>
      <c r="AX40" s="79"/>
      <c r="AY40" s="52"/>
      <c r="AZ40" s="77"/>
      <c r="BA40" s="79"/>
      <c r="BB40" s="79"/>
      <c r="BC40" s="52"/>
      <c r="BD40" s="77"/>
      <c r="BE40" s="79"/>
      <c r="BF40" s="79"/>
    </row>
    <row r="41" spans="1:60" ht="24" customHeight="1" x14ac:dyDescent="0.25">
      <c r="A41" s="294"/>
      <c r="B41" s="95" t="s">
        <v>554</v>
      </c>
      <c r="C41" s="58" t="s">
        <v>568</v>
      </c>
      <c r="D41" s="96" t="s">
        <v>596</v>
      </c>
      <c r="E41" s="97">
        <v>2</v>
      </c>
      <c r="F41" s="206">
        <v>0.25</v>
      </c>
      <c r="G41" s="206">
        <f t="shared" si="1"/>
        <v>0.5</v>
      </c>
      <c r="H41" s="206">
        <v>2</v>
      </c>
      <c r="I41" s="206">
        <f t="shared" si="2"/>
        <v>1</v>
      </c>
      <c r="J41" s="206">
        <v>0.75</v>
      </c>
      <c r="K41" s="206">
        <f t="shared" si="3"/>
        <v>1.5</v>
      </c>
      <c r="L41" s="206">
        <v>1</v>
      </c>
      <c r="M41" s="206">
        <f t="shared" si="4"/>
        <v>2</v>
      </c>
      <c r="N41" s="147">
        <v>0</v>
      </c>
      <c r="O41" s="147">
        <v>0</v>
      </c>
      <c r="P41" s="147">
        <v>0.2</v>
      </c>
      <c r="Q41" s="57">
        <f t="shared" si="36"/>
        <v>0.2</v>
      </c>
      <c r="R41" s="59">
        <f t="shared" si="32"/>
        <v>0.4</v>
      </c>
      <c r="S41" s="55" t="str">
        <f t="shared" si="59"/>
        <v>Nivel del indicador que satisface y supera las expectativas</v>
      </c>
      <c r="T41" s="163"/>
      <c r="U41" s="163">
        <v>1</v>
      </c>
      <c r="V41" s="163"/>
      <c r="W41" s="56">
        <f t="shared" si="6"/>
        <v>1.2</v>
      </c>
      <c r="X41" s="59">
        <v>1</v>
      </c>
      <c r="Y41" s="55" t="str">
        <f t="shared" si="37"/>
        <v>Nivel del indicador que satisface y supera las expectativas</v>
      </c>
      <c r="Z41" s="57"/>
      <c r="AA41" s="57"/>
      <c r="AB41" s="214">
        <v>2</v>
      </c>
      <c r="AC41" s="243">
        <f t="shared" si="38"/>
        <v>2</v>
      </c>
      <c r="AD41" s="59">
        <v>1</v>
      </c>
      <c r="AE41" s="55" t="str">
        <f t="shared" si="39"/>
        <v>Nivel del indicador que satisface y supera las expectativas</v>
      </c>
      <c r="AF41" s="57"/>
      <c r="AG41" s="57"/>
      <c r="AH41" s="57"/>
      <c r="AI41" s="56">
        <f t="shared" si="11"/>
        <v>2</v>
      </c>
      <c r="AJ41" s="59">
        <f t="shared" si="40"/>
        <v>1</v>
      </c>
      <c r="AK41" s="55" t="str">
        <f t="shared" si="41"/>
        <v>Nivel del indicador que satisface y supera las expectativas</v>
      </c>
      <c r="AP41" s="52">
        <f t="shared" si="42"/>
        <v>2</v>
      </c>
      <c r="AQ41" s="52">
        <f t="shared" si="43"/>
        <v>0.5</v>
      </c>
      <c r="AR41" s="52">
        <f t="shared" si="44"/>
        <v>0.2</v>
      </c>
      <c r="AS41" s="79">
        <f t="shared" si="45"/>
        <v>0.4</v>
      </c>
      <c r="AT41" s="79">
        <f t="shared" si="46"/>
        <v>0.1</v>
      </c>
      <c r="AU41" s="52">
        <f t="shared" si="47"/>
        <v>1</v>
      </c>
      <c r="AV41" s="77">
        <f t="shared" si="48"/>
        <v>1.3</v>
      </c>
      <c r="AW41" s="79">
        <f t="shared" si="49"/>
        <v>1.3</v>
      </c>
      <c r="AX41" s="79">
        <f t="shared" si="50"/>
        <v>0.65</v>
      </c>
      <c r="AY41" s="52">
        <f t="shared" si="51"/>
        <v>1.5</v>
      </c>
      <c r="AZ41" s="77">
        <f t="shared" si="52"/>
        <v>3.3</v>
      </c>
      <c r="BA41" s="79">
        <f t="shared" si="53"/>
        <v>2.1999999999999997</v>
      </c>
      <c r="BB41" s="79">
        <f t="shared" si="54"/>
        <v>1.65</v>
      </c>
      <c r="BC41" s="52">
        <f t="shared" si="55"/>
        <v>2</v>
      </c>
      <c r="BD41" s="77">
        <f t="shared" si="56"/>
        <v>5.3</v>
      </c>
      <c r="BE41" s="79">
        <f t="shared" si="57"/>
        <v>2.65</v>
      </c>
      <c r="BF41" s="79">
        <f t="shared" si="58"/>
        <v>2.65</v>
      </c>
    </row>
    <row r="42" spans="1:60" ht="30" x14ac:dyDescent="0.25">
      <c r="A42" s="292" t="s">
        <v>309</v>
      </c>
      <c r="B42" s="148" t="s">
        <v>310</v>
      </c>
      <c r="C42" s="54" t="s">
        <v>311</v>
      </c>
      <c r="D42" s="149" t="s">
        <v>597</v>
      </c>
      <c r="E42" s="149">
        <v>3</v>
      </c>
      <c r="F42" s="206">
        <v>0.25</v>
      </c>
      <c r="G42" s="206">
        <f t="shared" si="1"/>
        <v>0.75</v>
      </c>
      <c r="H42" s="206">
        <v>2</v>
      </c>
      <c r="I42" s="206">
        <f t="shared" si="2"/>
        <v>1.5</v>
      </c>
      <c r="J42" s="206">
        <v>0.75</v>
      </c>
      <c r="K42" s="206">
        <f t="shared" si="3"/>
        <v>2.25</v>
      </c>
      <c r="L42" s="206">
        <v>1</v>
      </c>
      <c r="M42" s="206">
        <f t="shared" si="4"/>
        <v>3</v>
      </c>
      <c r="N42" s="148">
        <v>0</v>
      </c>
      <c r="O42" s="148">
        <v>0</v>
      </c>
      <c r="P42" s="148">
        <v>2</v>
      </c>
      <c r="Q42" s="148">
        <f t="shared" si="36"/>
        <v>2</v>
      </c>
      <c r="R42" s="59">
        <v>1</v>
      </c>
      <c r="S42" s="55" t="str">
        <f t="shared" si="35"/>
        <v>Nivel del indicador que satisface y supera las expectativas</v>
      </c>
      <c r="T42" s="163">
        <v>2</v>
      </c>
      <c r="U42" s="163">
        <v>1</v>
      </c>
      <c r="V42" s="163">
        <v>1</v>
      </c>
      <c r="W42" s="56">
        <f t="shared" si="6"/>
        <v>6</v>
      </c>
      <c r="X42" s="59">
        <v>1</v>
      </c>
      <c r="Y42" s="55" t="str">
        <f t="shared" si="37"/>
        <v>Nivel del indicador que satisface y supera las expectativas</v>
      </c>
      <c r="Z42" s="57"/>
      <c r="AA42" s="57"/>
      <c r="AB42" s="214">
        <v>5</v>
      </c>
      <c r="AC42" s="243">
        <f t="shared" si="38"/>
        <v>5</v>
      </c>
      <c r="AD42" s="59">
        <v>1</v>
      </c>
      <c r="AE42" s="55" t="str">
        <f t="shared" si="39"/>
        <v>Nivel del indicador que satisface y supera las expectativas</v>
      </c>
      <c r="AF42" s="57"/>
      <c r="AG42" s="57"/>
      <c r="AH42" s="57"/>
      <c r="AI42" s="56">
        <f t="shared" si="11"/>
        <v>5</v>
      </c>
      <c r="AJ42" s="59">
        <f t="shared" si="40"/>
        <v>1.6666666666666667</v>
      </c>
      <c r="AK42" s="55" t="str">
        <f t="shared" si="41"/>
        <v>Nivel del indicador que satisface y supera las expectativas</v>
      </c>
      <c r="AP42" s="52">
        <f t="shared" si="42"/>
        <v>3</v>
      </c>
      <c r="AQ42" s="52">
        <f t="shared" si="43"/>
        <v>0.75</v>
      </c>
      <c r="AR42" s="52">
        <f t="shared" si="44"/>
        <v>2</v>
      </c>
      <c r="AS42" s="79">
        <f t="shared" si="45"/>
        <v>2.6666666666666665</v>
      </c>
      <c r="AT42" s="79">
        <f t="shared" si="46"/>
        <v>0.66666666666666674</v>
      </c>
      <c r="AU42" s="52">
        <f t="shared" si="47"/>
        <v>1.5</v>
      </c>
      <c r="AV42" s="77">
        <f t="shared" si="48"/>
        <v>6.666666666666667</v>
      </c>
      <c r="AW42" s="79">
        <f t="shared" si="49"/>
        <v>4.4444444444444446</v>
      </c>
      <c r="AX42" s="79">
        <f t="shared" si="50"/>
        <v>2.2222222222222228</v>
      </c>
      <c r="AY42" s="52">
        <f t="shared" si="51"/>
        <v>2.25</v>
      </c>
      <c r="AZ42" s="77">
        <f t="shared" si="52"/>
        <v>11.666666666666668</v>
      </c>
      <c r="BA42" s="79">
        <f t="shared" si="53"/>
        <v>5.185185185185186</v>
      </c>
      <c r="BB42" s="79">
        <f t="shared" si="54"/>
        <v>3.8888888888888893</v>
      </c>
      <c r="BC42" s="52">
        <f t="shared" si="55"/>
        <v>3</v>
      </c>
      <c r="BD42" s="77">
        <f t="shared" si="56"/>
        <v>16.666666666666668</v>
      </c>
      <c r="BE42" s="79">
        <f t="shared" si="57"/>
        <v>5.5555555555555562</v>
      </c>
      <c r="BF42" s="79">
        <f t="shared" si="58"/>
        <v>5.5555555555555554</v>
      </c>
    </row>
    <row r="43" spans="1:60" ht="45" x14ac:dyDescent="0.25">
      <c r="A43" s="293"/>
      <c r="B43" s="148" t="s">
        <v>312</v>
      </c>
      <c r="C43" s="54" t="s">
        <v>313</v>
      </c>
      <c r="D43" s="149" t="s">
        <v>598</v>
      </c>
      <c r="E43" s="149">
        <v>4</v>
      </c>
      <c r="F43" s="206">
        <v>0.25</v>
      </c>
      <c r="G43" s="206">
        <f t="shared" si="1"/>
        <v>1</v>
      </c>
      <c r="H43" s="206">
        <v>2</v>
      </c>
      <c r="I43" s="206">
        <f t="shared" si="2"/>
        <v>2</v>
      </c>
      <c r="J43" s="206">
        <v>0.75</v>
      </c>
      <c r="K43" s="206">
        <f t="shared" si="3"/>
        <v>3</v>
      </c>
      <c r="L43" s="206">
        <v>1</v>
      </c>
      <c r="M43" s="206">
        <f t="shared" si="4"/>
        <v>4</v>
      </c>
      <c r="N43" s="148">
        <v>0</v>
      </c>
      <c r="O43" s="148">
        <v>0</v>
      </c>
      <c r="P43" s="148">
        <v>39</v>
      </c>
      <c r="Q43" s="148">
        <v>4</v>
      </c>
      <c r="R43" s="59">
        <v>1</v>
      </c>
      <c r="S43" s="55" t="str">
        <f t="shared" si="35"/>
        <v>Nivel del indicador que satisface y supera las expectativas</v>
      </c>
      <c r="T43" s="163">
        <v>0</v>
      </c>
      <c r="U43" s="163">
        <v>0</v>
      </c>
      <c r="V43" s="163">
        <v>0</v>
      </c>
      <c r="W43" s="56">
        <f t="shared" si="6"/>
        <v>4</v>
      </c>
      <c r="X43" s="59">
        <v>1</v>
      </c>
      <c r="Y43" s="55" t="str">
        <f t="shared" si="37"/>
        <v>Nivel del indicador que satisface y supera las expectativas</v>
      </c>
      <c r="Z43" s="57"/>
      <c r="AA43" s="57"/>
      <c r="AB43" s="214">
        <v>39</v>
      </c>
      <c r="AC43" s="243">
        <f t="shared" si="38"/>
        <v>39</v>
      </c>
      <c r="AD43" s="59">
        <v>1</v>
      </c>
      <c r="AE43" s="55" t="str">
        <f t="shared" si="39"/>
        <v>Nivel del indicador que satisface y supera las expectativas</v>
      </c>
      <c r="AF43" s="57"/>
      <c r="AG43" s="57"/>
      <c r="AH43" s="57"/>
      <c r="AI43" s="56">
        <f t="shared" si="11"/>
        <v>39</v>
      </c>
      <c r="AJ43" s="59">
        <f t="shared" si="40"/>
        <v>9.75</v>
      </c>
      <c r="AK43" s="55" t="str">
        <f t="shared" si="41"/>
        <v>Nivel del indicador que satisface y supera las expectativas</v>
      </c>
      <c r="AP43" s="52">
        <f t="shared" si="42"/>
        <v>4</v>
      </c>
      <c r="AQ43" s="52">
        <f t="shared" si="43"/>
        <v>1</v>
      </c>
      <c r="AR43" s="52">
        <f t="shared" si="44"/>
        <v>4</v>
      </c>
      <c r="AS43" s="79">
        <f t="shared" si="45"/>
        <v>4</v>
      </c>
      <c r="AT43" s="79">
        <f t="shared" si="46"/>
        <v>1</v>
      </c>
      <c r="AU43" s="52">
        <f t="shared" si="47"/>
        <v>2</v>
      </c>
      <c r="AV43" s="77">
        <f t="shared" si="48"/>
        <v>5</v>
      </c>
      <c r="AW43" s="79">
        <f t="shared" si="49"/>
        <v>2.5</v>
      </c>
      <c r="AX43" s="79">
        <f t="shared" si="50"/>
        <v>1.25</v>
      </c>
      <c r="AY43" s="52">
        <f t="shared" si="51"/>
        <v>3</v>
      </c>
      <c r="AZ43" s="77">
        <f t="shared" si="52"/>
        <v>44</v>
      </c>
      <c r="BA43" s="79">
        <f t="shared" si="53"/>
        <v>14.666666666666666</v>
      </c>
      <c r="BB43" s="79">
        <f t="shared" si="54"/>
        <v>11</v>
      </c>
      <c r="BC43" s="52">
        <f t="shared" si="55"/>
        <v>4</v>
      </c>
      <c r="BD43" s="77">
        <f t="shared" si="56"/>
        <v>83</v>
      </c>
      <c r="BE43" s="79">
        <f t="shared" si="57"/>
        <v>20.75</v>
      </c>
      <c r="BF43" s="79">
        <f t="shared" si="58"/>
        <v>20.75</v>
      </c>
    </row>
    <row r="44" spans="1:60" ht="30" x14ac:dyDescent="0.25">
      <c r="A44" s="293"/>
      <c r="B44" s="57" t="s">
        <v>314</v>
      </c>
      <c r="C44" s="54" t="s">
        <v>315</v>
      </c>
      <c r="D44" s="58" t="s">
        <v>599</v>
      </c>
      <c r="E44" s="58">
        <v>3</v>
      </c>
      <c r="F44" s="206">
        <v>0.25</v>
      </c>
      <c r="G44" s="206">
        <f t="shared" si="1"/>
        <v>0.75</v>
      </c>
      <c r="H44" s="206">
        <v>2</v>
      </c>
      <c r="I44" s="206">
        <f t="shared" si="2"/>
        <v>1.5</v>
      </c>
      <c r="J44" s="206">
        <v>0.75</v>
      </c>
      <c r="K44" s="206">
        <f t="shared" si="3"/>
        <v>2.25</v>
      </c>
      <c r="L44" s="206">
        <v>1</v>
      </c>
      <c r="M44" s="206">
        <f t="shared" si="4"/>
        <v>3</v>
      </c>
      <c r="N44" s="147">
        <v>0</v>
      </c>
      <c r="O44" s="147">
        <v>2</v>
      </c>
      <c r="P44" s="147">
        <v>1</v>
      </c>
      <c r="Q44" s="57">
        <f t="shared" si="36"/>
        <v>3</v>
      </c>
      <c r="R44" s="59">
        <v>1</v>
      </c>
      <c r="S44" s="55" t="str">
        <f t="shared" si="35"/>
        <v>Nivel del indicador que satisface y supera las expectativas</v>
      </c>
      <c r="T44" s="163">
        <v>2</v>
      </c>
      <c r="U44" s="163">
        <v>8</v>
      </c>
      <c r="V44" s="163">
        <v>5</v>
      </c>
      <c r="W44" s="56">
        <f t="shared" si="6"/>
        <v>18</v>
      </c>
      <c r="X44" s="59">
        <v>1</v>
      </c>
      <c r="Y44" s="55" t="str">
        <f t="shared" si="37"/>
        <v>Nivel del indicador que satisface y supera las expectativas</v>
      </c>
      <c r="Z44" s="57"/>
      <c r="AA44" s="57"/>
      <c r="AB44" s="214">
        <v>26</v>
      </c>
      <c r="AC44" s="243">
        <f t="shared" si="38"/>
        <v>26</v>
      </c>
      <c r="AD44" s="59">
        <v>1</v>
      </c>
      <c r="AE44" s="55" t="str">
        <f t="shared" si="39"/>
        <v>Nivel del indicador que satisface y supera las expectativas</v>
      </c>
      <c r="AF44" s="57"/>
      <c r="AG44" s="57"/>
      <c r="AH44" s="57"/>
      <c r="AI44" s="56">
        <f t="shared" si="11"/>
        <v>26</v>
      </c>
      <c r="AJ44" s="59">
        <f t="shared" si="40"/>
        <v>8.6666666666666661</v>
      </c>
      <c r="AK44" s="55" t="str">
        <f t="shared" si="41"/>
        <v>Nivel del indicador que satisface y supera las expectativas</v>
      </c>
      <c r="AP44" s="52">
        <f t="shared" si="42"/>
        <v>3</v>
      </c>
      <c r="AQ44" s="52">
        <f t="shared" si="43"/>
        <v>0.75</v>
      </c>
      <c r="AR44" s="52">
        <f t="shared" si="44"/>
        <v>3</v>
      </c>
      <c r="AS44" s="79">
        <f t="shared" si="45"/>
        <v>4</v>
      </c>
      <c r="AT44" s="79">
        <f t="shared" si="46"/>
        <v>1</v>
      </c>
      <c r="AU44" s="52">
        <f t="shared" si="47"/>
        <v>1.5</v>
      </c>
      <c r="AV44" s="77">
        <f t="shared" si="48"/>
        <v>19</v>
      </c>
      <c r="AW44" s="79">
        <f t="shared" si="49"/>
        <v>12.666666666666666</v>
      </c>
      <c r="AX44" s="79">
        <f t="shared" si="50"/>
        <v>6.3333333333333339</v>
      </c>
      <c r="AY44" s="52">
        <f t="shared" si="51"/>
        <v>2.25</v>
      </c>
      <c r="AZ44" s="77">
        <f t="shared" si="52"/>
        <v>45</v>
      </c>
      <c r="BA44" s="79">
        <f t="shared" si="53"/>
        <v>20</v>
      </c>
      <c r="BB44" s="79">
        <f t="shared" si="54"/>
        <v>15</v>
      </c>
      <c r="BC44" s="52">
        <f t="shared" si="55"/>
        <v>3</v>
      </c>
      <c r="BD44" s="77">
        <f t="shared" si="56"/>
        <v>71</v>
      </c>
      <c r="BE44" s="79">
        <f t="shared" si="57"/>
        <v>23.666666666666668</v>
      </c>
      <c r="BF44" s="79">
        <f t="shared" si="58"/>
        <v>23.666666666666664</v>
      </c>
    </row>
    <row r="45" spans="1:60" ht="30" x14ac:dyDescent="0.25">
      <c r="A45" s="293"/>
      <c r="B45" s="57" t="s">
        <v>316</v>
      </c>
      <c r="C45" s="54" t="s">
        <v>317</v>
      </c>
      <c r="D45" s="58" t="s">
        <v>600</v>
      </c>
      <c r="E45" s="58">
        <v>12</v>
      </c>
      <c r="F45" s="206">
        <v>0.25</v>
      </c>
      <c r="G45" s="206">
        <f t="shared" si="1"/>
        <v>3</v>
      </c>
      <c r="H45" s="206">
        <v>2</v>
      </c>
      <c r="I45" s="206">
        <f t="shared" si="2"/>
        <v>6</v>
      </c>
      <c r="J45" s="206">
        <v>0.75</v>
      </c>
      <c r="K45" s="206">
        <f t="shared" si="3"/>
        <v>9</v>
      </c>
      <c r="L45" s="206">
        <v>1</v>
      </c>
      <c r="M45" s="206">
        <f t="shared" si="4"/>
        <v>12</v>
      </c>
      <c r="N45" s="147">
        <v>0</v>
      </c>
      <c r="O45" s="147">
        <v>0</v>
      </c>
      <c r="P45" s="147">
        <v>1</v>
      </c>
      <c r="Q45" s="57">
        <f t="shared" si="36"/>
        <v>1</v>
      </c>
      <c r="R45" s="59">
        <f t="shared" si="32"/>
        <v>0.33333333333333331</v>
      </c>
      <c r="S45" s="55" t="str">
        <f t="shared" si="35"/>
        <v>Nivel del indicador que satisface y supera las expectativas</v>
      </c>
      <c r="T45" s="163">
        <v>0</v>
      </c>
      <c r="U45" s="163">
        <v>1</v>
      </c>
      <c r="V45" s="163">
        <v>0</v>
      </c>
      <c r="W45" s="56">
        <f t="shared" si="6"/>
        <v>2</v>
      </c>
      <c r="X45" s="59">
        <f t="shared" si="7"/>
        <v>0.33333333333333331</v>
      </c>
      <c r="Y45" s="55" t="str">
        <f t="shared" si="37"/>
        <v>Nivel Aceptable del Indicador</v>
      </c>
      <c r="Z45" s="57"/>
      <c r="AA45" s="57"/>
      <c r="AB45" s="214">
        <v>2</v>
      </c>
      <c r="AC45" s="243">
        <f t="shared" si="38"/>
        <v>2</v>
      </c>
      <c r="AD45" s="59">
        <f t="shared" si="34"/>
        <v>0.22222222222222221</v>
      </c>
      <c r="AE45" s="55" t="str">
        <f t="shared" si="39"/>
        <v>Se ha avanzado muy poco o nada en este indicador</v>
      </c>
      <c r="AF45" s="57"/>
      <c r="AG45" s="57"/>
      <c r="AH45" s="57"/>
      <c r="AI45" s="238">
        <f t="shared" si="11"/>
        <v>2</v>
      </c>
      <c r="AJ45" s="59">
        <f t="shared" si="40"/>
        <v>0.16666666666666666</v>
      </c>
      <c r="AK45" s="55" t="str">
        <f t="shared" si="41"/>
        <v>Se ha avanzado muy poco o nada en este indicador</v>
      </c>
      <c r="AP45" s="52">
        <f t="shared" si="42"/>
        <v>12</v>
      </c>
      <c r="AQ45" s="52">
        <f t="shared" si="43"/>
        <v>3</v>
      </c>
      <c r="AR45" s="52">
        <f t="shared" si="44"/>
        <v>1</v>
      </c>
      <c r="AS45" s="79">
        <f t="shared" si="45"/>
        <v>0.33333333333333331</v>
      </c>
      <c r="AT45" s="79">
        <f t="shared" si="46"/>
        <v>8.3333333333333343E-2</v>
      </c>
      <c r="AU45" s="52">
        <f t="shared" si="47"/>
        <v>6</v>
      </c>
      <c r="AV45" s="77">
        <f t="shared" si="48"/>
        <v>2.0833333333333335</v>
      </c>
      <c r="AW45" s="79">
        <f t="shared" si="49"/>
        <v>0.34722222222222227</v>
      </c>
      <c r="AX45" s="79">
        <f t="shared" si="50"/>
        <v>0.1736111111111111</v>
      </c>
      <c r="AY45" s="52">
        <f t="shared" si="51"/>
        <v>9</v>
      </c>
      <c r="AZ45" s="77">
        <f t="shared" si="52"/>
        <v>4.0833333333333339</v>
      </c>
      <c r="BA45" s="79">
        <f t="shared" si="53"/>
        <v>0.45370370370370378</v>
      </c>
      <c r="BB45" s="79">
        <f t="shared" si="54"/>
        <v>0.34027777777777785</v>
      </c>
      <c r="BC45" s="52">
        <f t="shared" si="55"/>
        <v>12</v>
      </c>
      <c r="BD45" s="77">
        <f t="shared" si="56"/>
        <v>6.0833333333333339</v>
      </c>
      <c r="BE45" s="79">
        <f t="shared" si="57"/>
        <v>0.50694444444444453</v>
      </c>
      <c r="BF45" s="79">
        <f t="shared" si="58"/>
        <v>0.50694444444444453</v>
      </c>
    </row>
    <row r="46" spans="1:60" ht="45" x14ac:dyDescent="0.25">
      <c r="A46" s="293"/>
      <c r="B46" s="57" t="s">
        <v>318</v>
      </c>
      <c r="C46" s="54" t="s">
        <v>319</v>
      </c>
      <c r="D46" s="96" t="s">
        <v>601</v>
      </c>
      <c r="E46" s="96">
        <v>3</v>
      </c>
      <c r="F46" s="206">
        <v>0.25</v>
      </c>
      <c r="G46" s="206">
        <f t="shared" si="1"/>
        <v>0.75</v>
      </c>
      <c r="H46" s="206">
        <v>2</v>
      </c>
      <c r="I46" s="206">
        <f t="shared" si="2"/>
        <v>1.5</v>
      </c>
      <c r="J46" s="206">
        <v>0.75</v>
      </c>
      <c r="K46" s="206">
        <f t="shared" si="3"/>
        <v>2.25</v>
      </c>
      <c r="L46" s="206">
        <v>1</v>
      </c>
      <c r="M46" s="206">
        <f t="shared" si="4"/>
        <v>3</v>
      </c>
      <c r="N46" s="147">
        <v>0</v>
      </c>
      <c r="O46" s="147">
        <v>3</v>
      </c>
      <c r="P46" s="147">
        <v>0</v>
      </c>
      <c r="Q46" s="57">
        <f t="shared" si="36"/>
        <v>3</v>
      </c>
      <c r="R46" s="59">
        <v>1</v>
      </c>
      <c r="S46" s="55" t="str">
        <f t="shared" si="35"/>
        <v>Nivel del indicador que satisface y supera las expectativas</v>
      </c>
      <c r="T46" s="163">
        <v>0</v>
      </c>
      <c r="U46" s="163">
        <v>0</v>
      </c>
      <c r="V46" s="163">
        <v>0</v>
      </c>
      <c r="W46" s="56">
        <f t="shared" si="6"/>
        <v>3</v>
      </c>
      <c r="X46" s="59">
        <v>1</v>
      </c>
      <c r="Y46" s="55" t="str">
        <f t="shared" si="37"/>
        <v>Nivel del indicador que satisface y supera las expectativas</v>
      </c>
      <c r="Z46" s="57"/>
      <c r="AA46" s="57"/>
      <c r="AB46" s="214">
        <v>3</v>
      </c>
      <c r="AC46" s="243">
        <f t="shared" si="38"/>
        <v>3</v>
      </c>
      <c r="AD46" s="59">
        <v>1</v>
      </c>
      <c r="AE46" s="55" t="str">
        <f t="shared" si="39"/>
        <v>Nivel del indicador que satisface y supera las expectativas</v>
      </c>
      <c r="AF46" s="57"/>
      <c r="AG46" s="57"/>
      <c r="AH46" s="57"/>
      <c r="AI46" s="56">
        <f t="shared" si="11"/>
        <v>3</v>
      </c>
      <c r="AJ46" s="59">
        <f t="shared" si="40"/>
        <v>1</v>
      </c>
      <c r="AK46" s="55" t="str">
        <f t="shared" si="41"/>
        <v>Nivel del indicador que satisface y supera las expectativas</v>
      </c>
      <c r="AP46" s="52">
        <f t="shared" si="42"/>
        <v>3</v>
      </c>
      <c r="AQ46" s="52">
        <f t="shared" si="43"/>
        <v>0.75</v>
      </c>
      <c r="AR46" s="52">
        <f t="shared" si="44"/>
        <v>3</v>
      </c>
      <c r="AS46" s="79">
        <f t="shared" si="45"/>
        <v>4</v>
      </c>
      <c r="AT46" s="79">
        <f t="shared" si="46"/>
        <v>1</v>
      </c>
      <c r="AU46" s="52">
        <f t="shared" si="47"/>
        <v>1.5</v>
      </c>
      <c r="AV46" s="77">
        <f t="shared" si="48"/>
        <v>4</v>
      </c>
      <c r="AW46" s="79">
        <f t="shared" si="49"/>
        <v>2.6666666666666665</v>
      </c>
      <c r="AX46" s="79">
        <f t="shared" si="50"/>
        <v>1.3333333333333335</v>
      </c>
      <c r="AY46" s="52">
        <f t="shared" si="51"/>
        <v>2.25</v>
      </c>
      <c r="AZ46" s="77">
        <f t="shared" si="52"/>
        <v>7</v>
      </c>
      <c r="BA46" s="79">
        <f t="shared" si="53"/>
        <v>3.1111111111111112</v>
      </c>
      <c r="BB46" s="79">
        <f t="shared" si="54"/>
        <v>2.3333333333333335</v>
      </c>
      <c r="BC46" s="52">
        <f t="shared" si="55"/>
        <v>3</v>
      </c>
      <c r="BD46" s="77">
        <f t="shared" si="56"/>
        <v>10</v>
      </c>
      <c r="BE46" s="79">
        <f t="shared" si="57"/>
        <v>3.3333333333333335</v>
      </c>
      <c r="BF46" s="79">
        <f t="shared" si="58"/>
        <v>3.333333333333333</v>
      </c>
    </row>
    <row r="47" spans="1:60" ht="45" x14ac:dyDescent="0.25">
      <c r="A47" s="293"/>
      <c r="B47" s="57" t="s">
        <v>320</v>
      </c>
      <c r="C47" s="54" t="s">
        <v>321</v>
      </c>
      <c r="D47" s="58" t="s">
        <v>602</v>
      </c>
      <c r="E47" s="98">
        <v>1</v>
      </c>
      <c r="F47" s="206">
        <v>0.25</v>
      </c>
      <c r="G47" s="206">
        <f t="shared" si="1"/>
        <v>0.25</v>
      </c>
      <c r="H47" s="206">
        <v>2</v>
      </c>
      <c r="I47" s="206">
        <f t="shared" si="2"/>
        <v>0.5</v>
      </c>
      <c r="J47" s="206">
        <v>0.75</v>
      </c>
      <c r="K47" s="206">
        <f t="shared" si="3"/>
        <v>0.75</v>
      </c>
      <c r="L47" s="206">
        <v>1</v>
      </c>
      <c r="M47" s="206">
        <f t="shared" si="4"/>
        <v>1</v>
      </c>
      <c r="N47" s="147">
        <v>0</v>
      </c>
      <c r="O47" s="147">
        <v>0</v>
      </c>
      <c r="P47" s="147">
        <v>0.8</v>
      </c>
      <c r="Q47" s="57">
        <f t="shared" si="36"/>
        <v>0.8</v>
      </c>
      <c r="R47" s="59">
        <v>1</v>
      </c>
      <c r="S47" s="55" t="str">
        <f t="shared" si="35"/>
        <v>Nivel del indicador que satisface y supera las expectativas</v>
      </c>
      <c r="T47" s="163">
        <v>0.2</v>
      </c>
      <c r="U47" s="163">
        <v>0.2</v>
      </c>
      <c r="V47" s="163">
        <v>0.2</v>
      </c>
      <c r="W47" s="243">
        <f t="shared" si="6"/>
        <v>1.4000000000000001</v>
      </c>
      <c r="X47" s="59">
        <v>1</v>
      </c>
      <c r="Y47" s="55" t="str">
        <f t="shared" si="37"/>
        <v>Nivel del indicador que satisface y supera las expectativas</v>
      </c>
      <c r="Z47" s="57"/>
      <c r="AA47" s="57"/>
      <c r="AB47" s="235">
        <v>0.20000000000000004</v>
      </c>
      <c r="AC47" s="243">
        <f t="shared" si="38"/>
        <v>0.20000000000000004</v>
      </c>
      <c r="AD47" s="59">
        <f t="shared" si="34"/>
        <v>0.26666666666666672</v>
      </c>
      <c r="AE47" s="55" t="str">
        <f t="shared" si="39"/>
        <v>Nivel Aceptable del Indicador</v>
      </c>
      <c r="AF47" s="57"/>
      <c r="AG47" s="57"/>
      <c r="AH47" s="57"/>
      <c r="AI47" s="238">
        <f t="shared" si="11"/>
        <v>0.20000000000000004</v>
      </c>
      <c r="AJ47" s="59">
        <f t="shared" si="40"/>
        <v>0.20000000000000004</v>
      </c>
      <c r="AK47" s="55" t="str">
        <f t="shared" si="41"/>
        <v>Se ha avanzado muy poco o nada en este indicador</v>
      </c>
      <c r="AN47" t="s">
        <v>205</v>
      </c>
      <c r="AO47" t="s">
        <v>206</v>
      </c>
      <c r="AP47" s="52">
        <f t="shared" si="42"/>
        <v>1</v>
      </c>
      <c r="AQ47" s="52">
        <f t="shared" si="43"/>
        <v>0.25</v>
      </c>
      <c r="AR47" s="52">
        <f t="shared" si="44"/>
        <v>0.8</v>
      </c>
      <c r="AS47" s="79">
        <f t="shared" si="45"/>
        <v>3.2</v>
      </c>
      <c r="AT47" s="79">
        <f t="shared" si="46"/>
        <v>0.8</v>
      </c>
      <c r="AU47" s="52">
        <f t="shared" si="47"/>
        <v>0.5</v>
      </c>
      <c r="AV47" s="77">
        <f t="shared" si="48"/>
        <v>2.2000000000000002</v>
      </c>
      <c r="AW47" s="79">
        <f t="shared" si="49"/>
        <v>4.4000000000000004</v>
      </c>
      <c r="AX47" s="79">
        <f t="shared" si="50"/>
        <v>2.2000000000000002</v>
      </c>
      <c r="AY47" s="52">
        <f t="shared" si="51"/>
        <v>0.75</v>
      </c>
      <c r="AZ47" s="77">
        <f t="shared" si="52"/>
        <v>2.4000000000000004</v>
      </c>
      <c r="BA47" s="79">
        <f t="shared" si="53"/>
        <v>3.2000000000000006</v>
      </c>
      <c r="BB47" s="79">
        <f t="shared" si="54"/>
        <v>2.4000000000000004</v>
      </c>
      <c r="BC47" s="52">
        <f t="shared" si="55"/>
        <v>1</v>
      </c>
      <c r="BD47" s="77">
        <f t="shared" si="56"/>
        <v>2.6000000000000005</v>
      </c>
      <c r="BE47" s="79">
        <f t="shared" si="57"/>
        <v>2.6000000000000005</v>
      </c>
      <c r="BF47" s="79">
        <f t="shared" si="58"/>
        <v>2.6000000000000005</v>
      </c>
    </row>
    <row r="48" spans="1:60" ht="69.75" customHeight="1" x14ac:dyDescent="0.25">
      <c r="A48" s="294"/>
      <c r="B48" s="57" t="s">
        <v>322</v>
      </c>
      <c r="C48" s="54" t="s">
        <v>323</v>
      </c>
      <c r="D48" s="96" t="s">
        <v>603</v>
      </c>
      <c r="E48" s="97">
        <v>35</v>
      </c>
      <c r="F48" s="206">
        <v>0.25</v>
      </c>
      <c r="G48" s="206">
        <f t="shared" si="1"/>
        <v>8.75</v>
      </c>
      <c r="H48" s="206">
        <v>2</v>
      </c>
      <c r="I48" s="206">
        <f t="shared" si="2"/>
        <v>17.5</v>
      </c>
      <c r="J48" s="206">
        <v>0.75</v>
      </c>
      <c r="K48" s="206">
        <f t="shared" si="3"/>
        <v>26.25</v>
      </c>
      <c r="L48" s="206">
        <v>1</v>
      </c>
      <c r="M48" s="206">
        <f t="shared" si="4"/>
        <v>35</v>
      </c>
      <c r="N48" s="147">
        <v>0</v>
      </c>
      <c r="O48" s="147">
        <v>0</v>
      </c>
      <c r="P48" s="147">
        <v>3</v>
      </c>
      <c r="Q48" s="57">
        <f t="shared" si="36"/>
        <v>3</v>
      </c>
      <c r="R48" s="59">
        <f t="shared" si="32"/>
        <v>0.34285714285714286</v>
      </c>
      <c r="S48" s="55" t="str">
        <f t="shared" si="35"/>
        <v>Nivel del indicador que satisface y supera las expectativas</v>
      </c>
      <c r="T48" s="163">
        <v>4</v>
      </c>
      <c r="U48" s="163">
        <v>0</v>
      </c>
      <c r="V48" s="163">
        <v>1</v>
      </c>
      <c r="W48" s="56">
        <f t="shared" si="6"/>
        <v>8</v>
      </c>
      <c r="X48" s="59">
        <f t="shared" si="7"/>
        <v>0.45714285714285713</v>
      </c>
      <c r="Y48" s="55" t="str">
        <f t="shared" si="37"/>
        <v>Nivel del indicador que cumple las expectativas</v>
      </c>
      <c r="Z48" s="57"/>
      <c r="AA48" s="57"/>
      <c r="AB48" s="214">
        <v>12</v>
      </c>
      <c r="AC48" s="243">
        <f t="shared" si="38"/>
        <v>12</v>
      </c>
      <c r="AD48" s="59">
        <f t="shared" si="34"/>
        <v>0.45714285714285713</v>
      </c>
      <c r="AE48" s="55" t="str">
        <f t="shared" si="39"/>
        <v>Nivel Aceptable del Indicador</v>
      </c>
      <c r="AF48" s="57"/>
      <c r="AG48" s="57"/>
      <c r="AH48" s="57"/>
      <c r="AI48" s="238">
        <f t="shared" si="11"/>
        <v>12</v>
      </c>
      <c r="AJ48" s="59">
        <f t="shared" si="40"/>
        <v>0.34285714285714286</v>
      </c>
      <c r="AK48" s="55" t="str">
        <f t="shared" si="41"/>
        <v>Nivel Aceptable del Indicador</v>
      </c>
      <c r="AP48" s="52">
        <f t="shared" si="42"/>
        <v>35</v>
      </c>
      <c r="AQ48" s="52">
        <f t="shared" si="43"/>
        <v>8.75</v>
      </c>
      <c r="AR48" s="52">
        <f t="shared" si="44"/>
        <v>3</v>
      </c>
      <c r="AS48" s="79">
        <f t="shared" si="45"/>
        <v>0.34285714285714286</v>
      </c>
      <c r="AT48" s="79">
        <f t="shared" si="46"/>
        <v>8.5714285714285715E-2</v>
      </c>
      <c r="AU48" s="52">
        <f t="shared" si="47"/>
        <v>17.5</v>
      </c>
      <c r="AV48" s="77">
        <f t="shared" si="48"/>
        <v>8.0857142857142854</v>
      </c>
      <c r="AW48" s="79">
        <f t="shared" si="49"/>
        <v>0.4620408163265306</v>
      </c>
      <c r="AX48" s="79">
        <f t="shared" si="50"/>
        <v>0.2310204081632653</v>
      </c>
      <c r="AY48" s="52">
        <f t="shared" si="51"/>
        <v>26.25</v>
      </c>
      <c r="AZ48" s="77">
        <f t="shared" si="52"/>
        <v>20.085714285714285</v>
      </c>
      <c r="BA48" s="79">
        <f t="shared" si="53"/>
        <v>0.76517006802721088</v>
      </c>
      <c r="BB48" s="79">
        <f t="shared" si="54"/>
        <v>0.57387755102040816</v>
      </c>
      <c r="BC48" s="52">
        <f t="shared" si="55"/>
        <v>35</v>
      </c>
      <c r="BD48" s="77">
        <f t="shared" si="56"/>
        <v>32.085714285714289</v>
      </c>
      <c r="BE48" s="79">
        <f t="shared" si="57"/>
        <v>0.91673469387755113</v>
      </c>
      <c r="BF48" s="79">
        <f t="shared" si="58"/>
        <v>0.91673469387755102</v>
      </c>
    </row>
    <row r="49" spans="1:58" ht="90" customHeight="1" x14ac:dyDescent="0.25">
      <c r="A49" s="292" t="s">
        <v>324</v>
      </c>
      <c r="B49" s="57" t="s">
        <v>325</v>
      </c>
      <c r="C49" s="58" t="s">
        <v>326</v>
      </c>
      <c r="D49" s="58" t="s">
        <v>604</v>
      </c>
      <c r="E49" s="98">
        <v>30</v>
      </c>
      <c r="F49" s="206">
        <v>0.25</v>
      </c>
      <c r="G49" s="206">
        <f t="shared" si="1"/>
        <v>7.5</v>
      </c>
      <c r="H49" s="206">
        <v>2</v>
      </c>
      <c r="I49" s="206">
        <f t="shared" si="2"/>
        <v>15</v>
      </c>
      <c r="J49" s="206">
        <v>0.75</v>
      </c>
      <c r="K49" s="206">
        <f t="shared" si="3"/>
        <v>22.5</v>
      </c>
      <c r="L49" s="206">
        <v>1</v>
      </c>
      <c r="M49" s="206">
        <f t="shared" si="4"/>
        <v>30</v>
      </c>
      <c r="N49" s="147">
        <v>0</v>
      </c>
      <c r="O49" s="147">
        <v>2</v>
      </c>
      <c r="P49" s="147">
        <v>2</v>
      </c>
      <c r="Q49" s="57">
        <f t="shared" si="36"/>
        <v>4</v>
      </c>
      <c r="R49" s="59">
        <f t="shared" si="32"/>
        <v>0.53333333333333333</v>
      </c>
      <c r="S49" s="55" t="str">
        <f t="shared" si="35"/>
        <v>Nivel del indicador que satisface y supera las expectativas</v>
      </c>
      <c r="T49" s="163">
        <v>2</v>
      </c>
      <c r="U49" s="163">
        <v>6</v>
      </c>
      <c r="V49" s="163">
        <v>1</v>
      </c>
      <c r="W49" s="56">
        <f t="shared" si="6"/>
        <v>13</v>
      </c>
      <c r="X49" s="59">
        <f t="shared" si="7"/>
        <v>0.8666666666666667</v>
      </c>
      <c r="Y49" s="55" t="str">
        <f t="shared" si="37"/>
        <v>Nivel del indicador que satisface y supera las expectativas</v>
      </c>
      <c r="Z49" s="57"/>
      <c r="AA49" s="57"/>
      <c r="AB49" s="214">
        <v>14</v>
      </c>
      <c r="AC49" s="243">
        <f t="shared" si="38"/>
        <v>14</v>
      </c>
      <c r="AD49" s="59">
        <f t="shared" si="34"/>
        <v>0.62222222222222223</v>
      </c>
      <c r="AE49" s="55" t="str">
        <f t="shared" si="39"/>
        <v>Nivel del indicador que cumple las expectativas</v>
      </c>
      <c r="AF49" s="57"/>
      <c r="AG49" s="57"/>
      <c r="AH49" s="57"/>
      <c r="AI49" s="238">
        <f t="shared" si="11"/>
        <v>14</v>
      </c>
      <c r="AJ49" s="59">
        <f t="shared" si="40"/>
        <v>0.46666666666666667</v>
      </c>
      <c r="AK49" s="55" t="str">
        <f t="shared" si="41"/>
        <v>Nivel Aceptable del Indicador</v>
      </c>
      <c r="AP49" s="52">
        <f t="shared" si="42"/>
        <v>30</v>
      </c>
      <c r="AQ49" s="52">
        <f t="shared" si="43"/>
        <v>7.5</v>
      </c>
      <c r="AR49" s="52">
        <f t="shared" si="44"/>
        <v>4</v>
      </c>
      <c r="AS49" s="79">
        <f t="shared" si="45"/>
        <v>0.53333333333333333</v>
      </c>
      <c r="AT49" s="79">
        <f t="shared" si="46"/>
        <v>0.13333333333333333</v>
      </c>
      <c r="AU49" s="52">
        <f t="shared" si="47"/>
        <v>15</v>
      </c>
      <c r="AV49" s="77">
        <f t="shared" si="48"/>
        <v>13.133333333333333</v>
      </c>
      <c r="AW49" s="79">
        <f t="shared" si="49"/>
        <v>0.87555555555555553</v>
      </c>
      <c r="AX49" s="79">
        <f t="shared" si="50"/>
        <v>0.43777777777777777</v>
      </c>
      <c r="AY49" s="52">
        <f t="shared" si="51"/>
        <v>22.5</v>
      </c>
      <c r="AZ49" s="77">
        <f t="shared" si="52"/>
        <v>27.133333333333333</v>
      </c>
      <c r="BA49" s="79">
        <f t="shared" si="53"/>
        <v>1.2059259259259258</v>
      </c>
      <c r="BB49" s="79">
        <f t="shared" si="54"/>
        <v>0.90444444444444438</v>
      </c>
      <c r="BC49" s="52">
        <f t="shared" si="55"/>
        <v>30</v>
      </c>
      <c r="BD49" s="77">
        <f t="shared" si="56"/>
        <v>41.133333333333333</v>
      </c>
      <c r="BE49" s="79">
        <f t="shared" si="57"/>
        <v>1.3711111111111112</v>
      </c>
      <c r="BF49" s="79">
        <f t="shared" si="58"/>
        <v>1.3711111111111112</v>
      </c>
    </row>
    <row r="50" spans="1:58" ht="55.5" customHeight="1" x14ac:dyDescent="0.25">
      <c r="A50" s="293"/>
      <c r="B50" s="57" t="s">
        <v>327</v>
      </c>
      <c r="C50" s="58" t="s">
        <v>328</v>
      </c>
      <c r="D50" s="58" t="s">
        <v>605</v>
      </c>
      <c r="E50" s="98">
        <v>30</v>
      </c>
      <c r="F50" s="206">
        <v>0.25</v>
      </c>
      <c r="G50" s="206">
        <f t="shared" si="1"/>
        <v>7.5</v>
      </c>
      <c r="H50" s="206">
        <v>2</v>
      </c>
      <c r="I50" s="206">
        <f t="shared" si="2"/>
        <v>15</v>
      </c>
      <c r="J50" s="206">
        <v>0.75</v>
      </c>
      <c r="K50" s="206">
        <f t="shared" si="3"/>
        <v>22.5</v>
      </c>
      <c r="L50" s="206">
        <v>1</v>
      </c>
      <c r="M50" s="206">
        <f t="shared" si="4"/>
        <v>30</v>
      </c>
      <c r="N50" s="147">
        <v>0</v>
      </c>
      <c r="O50" s="147">
        <v>0</v>
      </c>
      <c r="P50" s="147">
        <v>2</v>
      </c>
      <c r="Q50" s="57">
        <f t="shared" si="36"/>
        <v>2</v>
      </c>
      <c r="R50" s="59">
        <f t="shared" si="32"/>
        <v>0.26666666666666666</v>
      </c>
      <c r="S50" s="55" t="str">
        <f t="shared" si="35"/>
        <v>Nivel del indicador que satisface y supera las expectativas</v>
      </c>
      <c r="T50" s="163">
        <v>7</v>
      </c>
      <c r="U50" s="163">
        <v>12</v>
      </c>
      <c r="V50" s="163">
        <v>3</v>
      </c>
      <c r="W50" s="56">
        <f t="shared" si="6"/>
        <v>24</v>
      </c>
      <c r="X50" s="59">
        <v>1</v>
      </c>
      <c r="Y50" s="55" t="str">
        <f t="shared" si="37"/>
        <v>Nivel del indicador que satisface y supera las expectativas</v>
      </c>
      <c r="Z50" s="57"/>
      <c r="AA50" s="57"/>
      <c r="AB50" s="214">
        <v>41</v>
      </c>
      <c r="AC50" s="243">
        <f t="shared" si="38"/>
        <v>41</v>
      </c>
      <c r="AD50" s="59">
        <v>1</v>
      </c>
      <c r="AE50" s="55" t="str">
        <f t="shared" si="39"/>
        <v>Nivel del indicador que satisface y supera las expectativas</v>
      </c>
      <c r="AF50" s="57"/>
      <c r="AG50" s="57"/>
      <c r="AH50" s="57"/>
      <c r="AI50" s="56">
        <f t="shared" si="11"/>
        <v>41</v>
      </c>
      <c r="AJ50" s="59">
        <f t="shared" si="40"/>
        <v>1.3666666666666667</v>
      </c>
      <c r="AK50" s="55" t="str">
        <f t="shared" si="41"/>
        <v>Nivel del indicador que satisface y supera las expectativas</v>
      </c>
      <c r="AP50" s="52">
        <f t="shared" si="42"/>
        <v>30</v>
      </c>
      <c r="AQ50" s="52">
        <f t="shared" si="43"/>
        <v>7.5</v>
      </c>
      <c r="AR50" s="52">
        <f t="shared" si="44"/>
        <v>2</v>
      </c>
      <c r="AS50" s="79">
        <f t="shared" si="45"/>
        <v>0.26666666666666666</v>
      </c>
      <c r="AT50" s="79">
        <f t="shared" si="46"/>
        <v>6.6666666666666666E-2</v>
      </c>
      <c r="AU50" s="52">
        <f t="shared" si="47"/>
        <v>15</v>
      </c>
      <c r="AV50" s="77">
        <f t="shared" si="48"/>
        <v>24.066666666666666</v>
      </c>
      <c r="AW50" s="79">
        <f t="shared" si="49"/>
        <v>1.6044444444444443</v>
      </c>
      <c r="AX50" s="79">
        <f t="shared" si="50"/>
        <v>0.80222222222222217</v>
      </c>
      <c r="AY50" s="52">
        <f t="shared" si="51"/>
        <v>22.5</v>
      </c>
      <c r="AZ50" s="77">
        <f t="shared" si="52"/>
        <v>65.066666666666663</v>
      </c>
      <c r="BA50" s="79">
        <f t="shared" si="53"/>
        <v>2.8918518518518517</v>
      </c>
      <c r="BB50" s="79">
        <f t="shared" si="54"/>
        <v>2.1688888888888886</v>
      </c>
      <c r="BC50" s="52">
        <f t="shared" si="55"/>
        <v>30</v>
      </c>
      <c r="BD50" s="77">
        <f t="shared" si="56"/>
        <v>106.06666666666666</v>
      </c>
      <c r="BE50" s="79">
        <f t="shared" si="57"/>
        <v>3.5355555555555553</v>
      </c>
      <c r="BF50" s="79">
        <f t="shared" si="58"/>
        <v>3.5355555555555553</v>
      </c>
    </row>
    <row r="51" spans="1:58" ht="94.5" customHeight="1" x14ac:dyDescent="0.25">
      <c r="A51" s="293"/>
      <c r="B51" s="57" t="s">
        <v>329</v>
      </c>
      <c r="C51" s="58" t="s">
        <v>569</v>
      </c>
      <c r="D51" s="58" t="s">
        <v>606</v>
      </c>
      <c r="E51" s="58">
        <v>12</v>
      </c>
      <c r="F51" s="206">
        <v>0.25</v>
      </c>
      <c r="G51" s="206">
        <f t="shared" si="1"/>
        <v>3</v>
      </c>
      <c r="H51" s="206">
        <v>2</v>
      </c>
      <c r="I51" s="206">
        <f t="shared" si="2"/>
        <v>6</v>
      </c>
      <c r="J51" s="206">
        <v>0.75</v>
      </c>
      <c r="K51" s="206">
        <f t="shared" si="3"/>
        <v>9</v>
      </c>
      <c r="L51" s="206">
        <v>1</v>
      </c>
      <c r="M51" s="206">
        <f t="shared" si="4"/>
        <v>12</v>
      </c>
      <c r="N51" s="147">
        <v>2</v>
      </c>
      <c r="O51" s="147">
        <v>1</v>
      </c>
      <c r="P51" s="147">
        <v>0</v>
      </c>
      <c r="Q51" s="57">
        <f t="shared" si="36"/>
        <v>3</v>
      </c>
      <c r="R51" s="59">
        <f t="shared" si="32"/>
        <v>1</v>
      </c>
      <c r="S51" s="55" t="str">
        <f t="shared" si="35"/>
        <v>Nivel del indicador que satisface y supera las expectativas</v>
      </c>
      <c r="T51" s="163">
        <v>0</v>
      </c>
      <c r="U51" s="163">
        <v>0</v>
      </c>
      <c r="V51" s="163">
        <v>0</v>
      </c>
      <c r="W51" s="56">
        <f t="shared" si="6"/>
        <v>3</v>
      </c>
      <c r="X51" s="59">
        <f t="shared" si="7"/>
        <v>0.5</v>
      </c>
      <c r="Y51" s="55" t="str">
        <f t="shared" si="37"/>
        <v>Nivel del indicador que satisface y supera las expectativas</v>
      </c>
      <c r="Z51" s="57"/>
      <c r="AA51" s="57"/>
      <c r="AB51" s="214">
        <v>3</v>
      </c>
      <c r="AC51" s="243">
        <f t="shared" si="38"/>
        <v>3</v>
      </c>
      <c r="AD51" s="59">
        <f t="shared" si="34"/>
        <v>0.33333333333333331</v>
      </c>
      <c r="AE51" s="55" t="str">
        <f t="shared" si="39"/>
        <v>Nivel Aceptable del Indicador</v>
      </c>
      <c r="AF51" s="57"/>
      <c r="AG51" s="57"/>
      <c r="AH51" s="57"/>
      <c r="AI51" s="238">
        <f t="shared" si="11"/>
        <v>3</v>
      </c>
      <c r="AJ51" s="59">
        <f t="shared" si="40"/>
        <v>0.25</v>
      </c>
      <c r="AK51" s="55" t="str">
        <f t="shared" si="41"/>
        <v>Se ha avanzado muy poco o nada en este indicador</v>
      </c>
      <c r="AP51" s="52">
        <f t="shared" si="42"/>
        <v>12</v>
      </c>
      <c r="AQ51" s="52">
        <f t="shared" si="43"/>
        <v>3</v>
      </c>
      <c r="AR51" s="52">
        <f t="shared" si="44"/>
        <v>3</v>
      </c>
      <c r="AS51" s="79">
        <f t="shared" si="45"/>
        <v>1</v>
      </c>
      <c r="AT51" s="79">
        <f t="shared" si="46"/>
        <v>0.25</v>
      </c>
      <c r="AU51" s="52">
        <f t="shared" si="47"/>
        <v>6</v>
      </c>
      <c r="AV51" s="77">
        <f t="shared" si="48"/>
        <v>3.25</v>
      </c>
      <c r="AW51" s="79">
        <f t="shared" si="49"/>
        <v>0.54166666666666663</v>
      </c>
      <c r="AX51" s="79">
        <f t="shared" si="50"/>
        <v>0.27083333333333331</v>
      </c>
      <c r="AY51" s="52">
        <f t="shared" si="51"/>
        <v>9</v>
      </c>
      <c r="AZ51" s="77">
        <f t="shared" si="52"/>
        <v>6.25</v>
      </c>
      <c r="BA51" s="79">
        <f t="shared" si="53"/>
        <v>0.69444444444444442</v>
      </c>
      <c r="BB51" s="79">
        <f t="shared" si="54"/>
        <v>0.52083333333333337</v>
      </c>
      <c r="BC51" s="52">
        <f t="shared" si="55"/>
        <v>12</v>
      </c>
      <c r="BD51" s="77">
        <f t="shared" si="56"/>
        <v>9.25</v>
      </c>
      <c r="BE51" s="79">
        <f t="shared" si="57"/>
        <v>0.77083333333333337</v>
      </c>
      <c r="BF51" s="79">
        <f t="shared" si="58"/>
        <v>0.77083333333333326</v>
      </c>
    </row>
    <row r="52" spans="1:58" ht="30" x14ac:dyDescent="0.25">
      <c r="A52" s="293"/>
      <c r="B52" s="57" t="s">
        <v>331</v>
      </c>
      <c r="C52" s="58" t="s">
        <v>332</v>
      </c>
      <c r="D52" s="58" t="s">
        <v>564</v>
      </c>
      <c r="E52" s="98">
        <v>2</v>
      </c>
      <c r="F52" s="206">
        <v>0.25</v>
      </c>
      <c r="G52" s="206">
        <f t="shared" si="1"/>
        <v>0.5</v>
      </c>
      <c r="H52" s="206">
        <v>2</v>
      </c>
      <c r="I52" s="206">
        <f t="shared" si="2"/>
        <v>1</v>
      </c>
      <c r="J52" s="206">
        <v>0.75</v>
      </c>
      <c r="K52" s="206">
        <f t="shared" si="3"/>
        <v>1.5</v>
      </c>
      <c r="L52" s="206">
        <v>1</v>
      </c>
      <c r="M52" s="206">
        <f t="shared" si="4"/>
        <v>2</v>
      </c>
      <c r="N52" s="147">
        <v>0</v>
      </c>
      <c r="O52" s="147">
        <v>0</v>
      </c>
      <c r="P52" s="147">
        <v>0.02</v>
      </c>
      <c r="Q52" s="146">
        <f t="shared" si="36"/>
        <v>0.02</v>
      </c>
      <c r="R52" s="59">
        <f t="shared" si="32"/>
        <v>0.04</v>
      </c>
      <c r="S52" s="55" t="str">
        <f t="shared" ref="S52:S56" si="61">IF(AND(E52&gt;0,Q52=0),"¡¡Ojo No se Ejecutaron Actividades!!",IF(R52="","",IF(R52&lt;8.99%,"Se ha avanzado muy poco o nada en este indicador",IF(R52&lt;=19.99%,"Nivel Aceptable del Indicador",IF(R52&lt;=24.99%,"Nivel del indicador que cumple las expectativas","Nivel del indicador que satisface y supera las expectativas")))))</f>
        <v>Se ha avanzado muy poco o nada en este indicador</v>
      </c>
      <c r="T52" s="163">
        <v>0</v>
      </c>
      <c r="U52" s="163">
        <v>0</v>
      </c>
      <c r="V52" s="163">
        <v>0</v>
      </c>
      <c r="W52" s="56">
        <f>T52+U52+V52+Q52</f>
        <v>0.02</v>
      </c>
      <c r="X52" s="59">
        <f t="shared" si="7"/>
        <v>0.02</v>
      </c>
      <c r="Y52" s="55" t="str">
        <f t="shared" si="37"/>
        <v>Se ha avanzado muy poco o nada en este indicador</v>
      </c>
      <c r="Z52" s="57"/>
      <c r="AA52" s="57"/>
      <c r="AB52" s="214">
        <v>0.02</v>
      </c>
      <c r="AC52" s="243">
        <f>Z52+AA52+AB52</f>
        <v>0.02</v>
      </c>
      <c r="AD52" s="59">
        <f t="shared" si="34"/>
        <v>1.3333333333333334E-2</v>
      </c>
      <c r="AE52" s="55" t="str">
        <f t="shared" si="39"/>
        <v>Se ha avanzado muy poco o nada en este indicador</v>
      </c>
      <c r="AF52" s="57"/>
      <c r="AG52" s="57"/>
      <c r="AH52" s="57"/>
      <c r="AI52" s="56">
        <f t="shared" si="11"/>
        <v>0.02</v>
      </c>
      <c r="AJ52" s="59"/>
      <c r="AK52" s="55"/>
      <c r="AP52" s="52"/>
      <c r="AQ52" s="52"/>
      <c r="AR52" s="52"/>
      <c r="AS52" s="79"/>
      <c r="AT52" s="79"/>
      <c r="AU52" s="52"/>
      <c r="AV52" s="77"/>
      <c r="AW52" s="79"/>
      <c r="AX52" s="79"/>
      <c r="AY52" s="52"/>
      <c r="AZ52" s="77"/>
      <c r="BA52" s="79"/>
      <c r="BB52" s="79"/>
      <c r="BC52" s="52"/>
      <c r="BD52" s="77"/>
      <c r="BE52" s="79"/>
      <c r="BF52" s="79"/>
    </row>
    <row r="53" spans="1:58" ht="30" x14ac:dyDescent="0.25">
      <c r="A53" s="294"/>
      <c r="B53" s="95" t="s">
        <v>389</v>
      </c>
      <c r="C53" s="96" t="s">
        <v>570</v>
      </c>
      <c r="D53" s="96" t="s">
        <v>607</v>
      </c>
      <c r="E53" s="97">
        <v>2</v>
      </c>
      <c r="F53" s="206">
        <v>0.25</v>
      </c>
      <c r="G53" s="206">
        <f t="shared" si="1"/>
        <v>0.5</v>
      </c>
      <c r="H53" s="206">
        <v>2</v>
      </c>
      <c r="I53" s="206">
        <f t="shared" si="2"/>
        <v>1</v>
      </c>
      <c r="J53" s="206">
        <v>0.75</v>
      </c>
      <c r="K53" s="206">
        <f t="shared" si="3"/>
        <v>1.5</v>
      </c>
      <c r="L53" s="206">
        <v>1</v>
      </c>
      <c r="M53" s="206">
        <f t="shared" si="4"/>
        <v>2</v>
      </c>
      <c r="N53" s="147">
        <v>2</v>
      </c>
      <c r="O53" s="147">
        <v>0</v>
      </c>
      <c r="P53" s="147">
        <v>0</v>
      </c>
      <c r="Q53" s="146">
        <f t="shared" si="36"/>
        <v>2</v>
      </c>
      <c r="R53" s="59">
        <v>1</v>
      </c>
      <c r="S53" s="55" t="str">
        <f t="shared" si="61"/>
        <v>Nivel del indicador que satisface y supera las expectativas</v>
      </c>
      <c r="T53" s="163">
        <v>0</v>
      </c>
      <c r="U53" s="163">
        <v>0</v>
      </c>
      <c r="V53" s="163">
        <v>0</v>
      </c>
      <c r="W53" s="56">
        <f t="shared" si="6"/>
        <v>2</v>
      </c>
      <c r="X53" s="59">
        <v>1</v>
      </c>
      <c r="Y53" s="55" t="str">
        <f t="shared" si="37"/>
        <v>Nivel del indicador que satisface y supera las expectativas</v>
      </c>
      <c r="Z53" s="57"/>
      <c r="AA53" s="57"/>
      <c r="AB53" s="214">
        <v>3</v>
      </c>
      <c r="AC53" s="243">
        <f t="shared" si="38"/>
        <v>3</v>
      </c>
      <c r="AD53" s="59">
        <v>1</v>
      </c>
      <c r="AE53" s="55" t="str">
        <f t="shared" si="39"/>
        <v>Nivel del indicador que satisface y supera las expectativas</v>
      </c>
      <c r="AF53" s="57"/>
      <c r="AG53" s="57"/>
      <c r="AH53" s="57"/>
      <c r="AI53" s="56">
        <f t="shared" si="11"/>
        <v>3</v>
      </c>
      <c r="AJ53" s="59">
        <f t="shared" si="40"/>
        <v>1.5</v>
      </c>
      <c r="AK53" s="55" t="str">
        <f t="shared" si="41"/>
        <v>Nivel del indicador que satisface y supera las expectativas</v>
      </c>
      <c r="AP53" s="52">
        <f t="shared" si="42"/>
        <v>2</v>
      </c>
      <c r="AQ53" s="52">
        <f t="shared" si="43"/>
        <v>0.5</v>
      </c>
      <c r="AR53" s="52">
        <f t="shared" si="44"/>
        <v>2</v>
      </c>
      <c r="AS53" s="79">
        <f t="shared" si="45"/>
        <v>4</v>
      </c>
      <c r="AT53" s="79">
        <f t="shared" si="46"/>
        <v>1</v>
      </c>
      <c r="AU53" s="52">
        <f t="shared" si="47"/>
        <v>1</v>
      </c>
      <c r="AV53" s="77">
        <f t="shared" si="48"/>
        <v>3</v>
      </c>
      <c r="AW53" s="79">
        <f t="shared" si="49"/>
        <v>3</v>
      </c>
      <c r="AX53" s="79">
        <f t="shared" si="50"/>
        <v>1.5</v>
      </c>
      <c r="AY53" s="52">
        <f t="shared" si="51"/>
        <v>1.5</v>
      </c>
      <c r="AZ53" s="77">
        <f t="shared" si="52"/>
        <v>6</v>
      </c>
      <c r="BA53" s="79">
        <f t="shared" si="53"/>
        <v>4</v>
      </c>
      <c r="BB53" s="79">
        <f t="shared" si="54"/>
        <v>3</v>
      </c>
      <c r="BC53" s="52">
        <f t="shared" si="55"/>
        <v>2</v>
      </c>
      <c r="BD53" s="77">
        <f t="shared" si="56"/>
        <v>9</v>
      </c>
      <c r="BE53" s="79">
        <f t="shared" si="57"/>
        <v>4.5</v>
      </c>
      <c r="BF53" s="79">
        <f t="shared" si="58"/>
        <v>4.5</v>
      </c>
    </row>
    <row r="54" spans="1:58" ht="60" x14ac:dyDescent="0.25">
      <c r="A54" s="57" t="s">
        <v>333</v>
      </c>
      <c r="B54" s="57" t="s">
        <v>334</v>
      </c>
      <c r="C54" s="54" t="s">
        <v>335</v>
      </c>
      <c r="D54" s="58" t="s">
        <v>608</v>
      </c>
      <c r="E54" s="58">
        <v>39</v>
      </c>
      <c r="F54" s="206">
        <v>0.25</v>
      </c>
      <c r="G54" s="206">
        <f t="shared" si="1"/>
        <v>9.75</v>
      </c>
      <c r="H54" s="206">
        <v>2</v>
      </c>
      <c r="I54" s="206">
        <f t="shared" si="2"/>
        <v>19.5</v>
      </c>
      <c r="J54" s="206">
        <v>0.75</v>
      </c>
      <c r="K54" s="206">
        <f t="shared" si="3"/>
        <v>29.25</v>
      </c>
      <c r="L54" s="206">
        <v>1</v>
      </c>
      <c r="M54" s="206">
        <f t="shared" si="4"/>
        <v>39</v>
      </c>
      <c r="N54" s="147">
        <v>0</v>
      </c>
      <c r="O54" s="147">
        <v>3</v>
      </c>
      <c r="P54" s="147">
        <v>0</v>
      </c>
      <c r="Q54" s="57">
        <f t="shared" si="36"/>
        <v>3</v>
      </c>
      <c r="R54" s="59">
        <f t="shared" si="32"/>
        <v>0.30769230769230771</v>
      </c>
      <c r="S54" s="55" t="str">
        <f t="shared" si="61"/>
        <v>Nivel del indicador que satisface y supera las expectativas</v>
      </c>
      <c r="T54" s="163">
        <v>5</v>
      </c>
      <c r="U54" s="163">
        <v>2</v>
      </c>
      <c r="V54" s="163">
        <v>1</v>
      </c>
      <c r="W54" s="56">
        <f t="shared" si="6"/>
        <v>11</v>
      </c>
      <c r="X54" s="59">
        <f t="shared" si="7"/>
        <v>0.5641025641025641</v>
      </c>
      <c r="Y54" s="55" t="str">
        <f t="shared" si="37"/>
        <v>Nivel del indicador que satisface y supera las expectativas</v>
      </c>
      <c r="Z54" s="57"/>
      <c r="AA54" s="57"/>
      <c r="AB54" s="214">
        <v>12</v>
      </c>
      <c r="AC54" s="243">
        <f t="shared" si="38"/>
        <v>12</v>
      </c>
      <c r="AD54" s="59">
        <f t="shared" si="34"/>
        <v>0.41025641025641024</v>
      </c>
      <c r="AE54" s="55" t="str">
        <f t="shared" si="39"/>
        <v>Nivel Aceptable del Indicador</v>
      </c>
      <c r="AF54" s="57"/>
      <c r="AG54" s="57"/>
      <c r="AH54" s="57"/>
      <c r="AI54" s="238">
        <f t="shared" si="11"/>
        <v>12</v>
      </c>
      <c r="AJ54" s="59">
        <f t="shared" si="40"/>
        <v>0.30769230769230771</v>
      </c>
      <c r="AK54" s="55" t="str">
        <f t="shared" si="41"/>
        <v>Se ha avanzado muy poco o nada en este indicador</v>
      </c>
      <c r="AP54" s="52">
        <f t="shared" si="42"/>
        <v>39</v>
      </c>
      <c r="AQ54" s="52">
        <f t="shared" si="43"/>
        <v>9.75</v>
      </c>
      <c r="AR54" s="52">
        <f t="shared" si="44"/>
        <v>3</v>
      </c>
      <c r="AS54" s="79">
        <f t="shared" si="45"/>
        <v>0.30769230769230771</v>
      </c>
      <c r="AT54" s="79">
        <f t="shared" si="46"/>
        <v>7.6923076923076927E-2</v>
      </c>
      <c r="AU54" s="52">
        <f t="shared" si="47"/>
        <v>19.5</v>
      </c>
      <c r="AV54" s="77">
        <f t="shared" si="48"/>
        <v>11.076923076923077</v>
      </c>
      <c r="AW54" s="79">
        <f t="shared" si="49"/>
        <v>0.56804733727810652</v>
      </c>
      <c r="AX54" s="79">
        <f t="shared" si="50"/>
        <v>0.28402366863905326</v>
      </c>
      <c r="AY54" s="52">
        <f t="shared" si="51"/>
        <v>29.25</v>
      </c>
      <c r="AZ54" s="77">
        <f t="shared" si="52"/>
        <v>23.076923076923077</v>
      </c>
      <c r="BA54" s="79">
        <f t="shared" si="53"/>
        <v>0.78895463510848129</v>
      </c>
      <c r="BB54" s="79">
        <f t="shared" si="54"/>
        <v>0.59171597633136097</v>
      </c>
      <c r="BC54" s="52">
        <f t="shared" si="55"/>
        <v>39</v>
      </c>
      <c r="BD54" s="77">
        <f t="shared" si="56"/>
        <v>35.07692307692308</v>
      </c>
      <c r="BE54" s="79">
        <f t="shared" si="57"/>
        <v>0.89940828402366868</v>
      </c>
      <c r="BF54" s="79">
        <f t="shared" si="58"/>
        <v>0.89940828402366879</v>
      </c>
    </row>
    <row r="55" spans="1:58" ht="30.75" customHeight="1" x14ac:dyDescent="0.25">
      <c r="A55" s="292" t="s">
        <v>336</v>
      </c>
      <c r="B55" s="57" t="s">
        <v>337</v>
      </c>
      <c r="C55" s="54" t="s">
        <v>338</v>
      </c>
      <c r="D55" s="58" t="s">
        <v>609</v>
      </c>
      <c r="E55" s="58">
        <v>12</v>
      </c>
      <c r="F55" s="206">
        <v>0.25</v>
      </c>
      <c r="G55" s="206">
        <f t="shared" si="1"/>
        <v>3</v>
      </c>
      <c r="H55" s="206">
        <v>2</v>
      </c>
      <c r="I55" s="206">
        <f t="shared" si="2"/>
        <v>6</v>
      </c>
      <c r="J55" s="206">
        <v>0.75</v>
      </c>
      <c r="K55" s="206">
        <f t="shared" si="3"/>
        <v>9</v>
      </c>
      <c r="L55" s="206">
        <v>1</v>
      </c>
      <c r="M55" s="206">
        <f t="shared" si="4"/>
        <v>12</v>
      </c>
      <c r="N55" s="147">
        <v>11</v>
      </c>
      <c r="O55" s="147">
        <v>0</v>
      </c>
      <c r="P55" s="147">
        <v>0</v>
      </c>
      <c r="Q55" s="57">
        <f t="shared" si="36"/>
        <v>11</v>
      </c>
      <c r="R55" s="59">
        <v>1</v>
      </c>
      <c r="S55" s="55" t="str">
        <f t="shared" si="61"/>
        <v>Nivel del indicador que satisface y supera las expectativas</v>
      </c>
      <c r="T55" s="163">
        <v>1</v>
      </c>
      <c r="U55" s="163">
        <v>0</v>
      </c>
      <c r="V55" s="163">
        <v>1</v>
      </c>
      <c r="W55" s="56">
        <f t="shared" si="6"/>
        <v>13</v>
      </c>
      <c r="X55" s="59">
        <v>1</v>
      </c>
      <c r="Y55" s="55" t="str">
        <f t="shared" si="37"/>
        <v>Nivel del indicador que satisface y supera las expectativas</v>
      </c>
      <c r="Z55" s="57"/>
      <c r="AA55" s="57"/>
      <c r="AB55" s="214">
        <v>14</v>
      </c>
      <c r="AC55" s="243">
        <f t="shared" si="38"/>
        <v>14</v>
      </c>
      <c r="AD55" s="59">
        <v>1</v>
      </c>
      <c r="AE55" s="55" t="str">
        <f t="shared" si="39"/>
        <v>Nivel del indicador que satisface y supera las expectativas</v>
      </c>
      <c r="AF55" s="57"/>
      <c r="AG55" s="57"/>
      <c r="AH55" s="57"/>
      <c r="AI55" s="56">
        <f t="shared" si="11"/>
        <v>14</v>
      </c>
      <c r="AJ55" s="59">
        <f t="shared" si="40"/>
        <v>1.1666666666666667</v>
      </c>
      <c r="AK55" s="55" t="str">
        <f t="shared" si="41"/>
        <v>Nivel del indicador que satisface y supera las expectativas</v>
      </c>
      <c r="AP55" s="52">
        <f t="shared" si="42"/>
        <v>12</v>
      </c>
      <c r="AQ55" s="52">
        <f t="shared" si="43"/>
        <v>3</v>
      </c>
      <c r="AR55" s="52">
        <f t="shared" si="44"/>
        <v>11</v>
      </c>
      <c r="AS55" s="79">
        <f t="shared" si="45"/>
        <v>3.6666666666666665</v>
      </c>
      <c r="AT55" s="79">
        <f t="shared" si="46"/>
        <v>0.91666666666666674</v>
      </c>
      <c r="AU55" s="52">
        <f t="shared" si="47"/>
        <v>6</v>
      </c>
      <c r="AV55" s="77">
        <f t="shared" si="48"/>
        <v>13.916666666666666</v>
      </c>
      <c r="AW55" s="79">
        <f t="shared" si="49"/>
        <v>2.3194444444444442</v>
      </c>
      <c r="AX55" s="79">
        <f t="shared" si="50"/>
        <v>1.1597222222222221</v>
      </c>
      <c r="AY55" s="52">
        <f t="shared" si="51"/>
        <v>9</v>
      </c>
      <c r="AZ55" s="77">
        <f t="shared" si="52"/>
        <v>27.916666666666664</v>
      </c>
      <c r="BA55" s="79">
        <f t="shared" si="53"/>
        <v>3.1018518518518516</v>
      </c>
      <c r="BB55" s="79">
        <f t="shared" si="54"/>
        <v>2.3263888888888888</v>
      </c>
      <c r="BC55" s="52">
        <f t="shared" si="55"/>
        <v>12</v>
      </c>
      <c r="BD55" s="77">
        <f t="shared" si="56"/>
        <v>41.916666666666664</v>
      </c>
      <c r="BE55" s="79">
        <f t="shared" si="57"/>
        <v>3.4930555555555554</v>
      </c>
      <c r="BF55" s="79">
        <f t="shared" si="58"/>
        <v>3.4930555555555549</v>
      </c>
    </row>
    <row r="56" spans="1:58" ht="45" x14ac:dyDescent="0.25">
      <c r="A56" s="294"/>
      <c r="B56" s="57" t="s">
        <v>339</v>
      </c>
      <c r="C56" s="54" t="s">
        <v>340</v>
      </c>
      <c r="D56" s="58" t="s">
        <v>610</v>
      </c>
      <c r="E56" s="58">
        <v>12</v>
      </c>
      <c r="F56" s="206">
        <v>0.25</v>
      </c>
      <c r="G56" s="206">
        <f t="shared" si="1"/>
        <v>3</v>
      </c>
      <c r="H56" s="206">
        <v>2</v>
      </c>
      <c r="I56" s="206">
        <f t="shared" si="2"/>
        <v>6</v>
      </c>
      <c r="J56" s="206">
        <v>0.75</v>
      </c>
      <c r="K56" s="206">
        <f t="shared" si="3"/>
        <v>9</v>
      </c>
      <c r="L56" s="206">
        <v>1</v>
      </c>
      <c r="M56" s="206">
        <f t="shared" si="4"/>
        <v>12</v>
      </c>
      <c r="N56" s="147">
        <v>0</v>
      </c>
      <c r="O56" s="147">
        <v>0</v>
      </c>
      <c r="P56" s="147">
        <v>0.12</v>
      </c>
      <c r="Q56" s="57">
        <f t="shared" si="36"/>
        <v>0.12</v>
      </c>
      <c r="R56" s="59">
        <f t="shared" si="32"/>
        <v>0.04</v>
      </c>
      <c r="S56" s="55" t="str">
        <f t="shared" si="61"/>
        <v>Se ha avanzado muy poco o nada en este indicador</v>
      </c>
      <c r="T56" s="163">
        <v>0</v>
      </c>
      <c r="U56" s="163">
        <v>0</v>
      </c>
      <c r="V56" s="163">
        <v>1.88</v>
      </c>
      <c r="W56" s="56">
        <f t="shared" si="6"/>
        <v>2</v>
      </c>
      <c r="X56" s="59">
        <f t="shared" si="7"/>
        <v>0.33333333333333331</v>
      </c>
      <c r="Y56" s="55" t="str">
        <f t="shared" si="37"/>
        <v>Nivel Aceptable del Indicador</v>
      </c>
      <c r="Z56" s="57"/>
      <c r="AA56" s="57"/>
      <c r="AB56" s="214">
        <v>2</v>
      </c>
      <c r="AC56" s="243">
        <f t="shared" si="38"/>
        <v>2</v>
      </c>
      <c r="AD56" s="59">
        <f t="shared" si="34"/>
        <v>0.22222222222222221</v>
      </c>
      <c r="AE56" s="55" t="str">
        <f t="shared" si="39"/>
        <v>Se ha avanzado muy poco o nada en este indicador</v>
      </c>
      <c r="AF56" s="57"/>
      <c r="AG56" s="57"/>
      <c r="AH56" s="57"/>
      <c r="AI56" s="238">
        <f t="shared" si="11"/>
        <v>2</v>
      </c>
      <c r="AJ56" s="59">
        <f t="shared" si="40"/>
        <v>0.16666666666666666</v>
      </c>
      <c r="AK56" s="55" t="str">
        <f t="shared" si="41"/>
        <v>Se ha avanzado muy poco o nada en este indicador</v>
      </c>
      <c r="AP56" s="52">
        <f t="shared" si="42"/>
        <v>12</v>
      </c>
      <c r="AQ56" s="52">
        <f t="shared" si="43"/>
        <v>3</v>
      </c>
      <c r="AR56" s="52">
        <f t="shared" si="44"/>
        <v>0.12</v>
      </c>
      <c r="AS56" s="79">
        <f t="shared" si="45"/>
        <v>0.04</v>
      </c>
      <c r="AT56" s="79">
        <f t="shared" si="46"/>
        <v>0.01</v>
      </c>
      <c r="AU56" s="52">
        <f t="shared" si="47"/>
        <v>6</v>
      </c>
      <c r="AV56" s="77">
        <f t="shared" si="48"/>
        <v>2.0099999999999998</v>
      </c>
      <c r="AW56" s="79">
        <f t="shared" si="49"/>
        <v>0.33499999999999996</v>
      </c>
      <c r="AX56" s="79">
        <f t="shared" si="50"/>
        <v>0.16749999999999995</v>
      </c>
      <c r="AY56" s="52">
        <f t="shared" si="51"/>
        <v>9</v>
      </c>
      <c r="AZ56" s="77">
        <f t="shared" si="52"/>
        <v>4.01</v>
      </c>
      <c r="BA56" s="79">
        <f t="shared" si="53"/>
        <v>0.44555555555555554</v>
      </c>
      <c r="BB56" s="79">
        <f t="shared" si="54"/>
        <v>0.33416666666666667</v>
      </c>
      <c r="BC56" s="52">
        <f t="shared" si="55"/>
        <v>12</v>
      </c>
      <c r="BD56" s="77">
        <f t="shared" si="56"/>
        <v>6.01</v>
      </c>
      <c r="BE56" s="79">
        <f t="shared" si="57"/>
        <v>0.50083333333333335</v>
      </c>
      <c r="BF56" s="79">
        <f t="shared" si="58"/>
        <v>0.50083333333333335</v>
      </c>
    </row>
    <row r="57" spans="1:58" ht="105" x14ac:dyDescent="0.25">
      <c r="A57" s="292" t="s">
        <v>341</v>
      </c>
      <c r="B57" s="57" t="s">
        <v>342</v>
      </c>
      <c r="C57" s="54" t="s">
        <v>343</v>
      </c>
      <c r="D57" s="58" t="s">
        <v>611</v>
      </c>
      <c r="E57" s="98">
        <v>6</v>
      </c>
      <c r="F57" s="206">
        <v>0.25</v>
      </c>
      <c r="G57" s="206">
        <f t="shared" si="1"/>
        <v>1.5</v>
      </c>
      <c r="H57" s="206">
        <v>2</v>
      </c>
      <c r="I57" s="206">
        <f t="shared" si="2"/>
        <v>3</v>
      </c>
      <c r="J57" s="206">
        <v>0.75</v>
      </c>
      <c r="K57" s="206">
        <f t="shared" si="3"/>
        <v>4.5</v>
      </c>
      <c r="L57" s="206">
        <v>1</v>
      </c>
      <c r="M57" s="206">
        <f t="shared" si="4"/>
        <v>6</v>
      </c>
      <c r="N57" s="147">
        <v>0</v>
      </c>
      <c r="O57" s="147">
        <v>0</v>
      </c>
      <c r="P57" s="147">
        <v>2</v>
      </c>
      <c r="Q57" s="57">
        <f t="shared" si="36"/>
        <v>2</v>
      </c>
      <c r="R57" s="59">
        <v>1</v>
      </c>
      <c r="S57" s="55" t="str">
        <f t="shared" ref="S57:S121" si="62">IF(AND(E57&gt;0,Q57=0),"¡¡Ojo No se Ejecutaron Actividades!!",IF(R57="","",IF(R57&lt;8.99%,"Se ha avanzado muy poco o nada en este indicador",IF(R57&lt;=19.99%,"Nivel Aceptable del Indicador",IF(R57&lt;=24.99%,"Nivel del indicador que cumple las expectativas","Nivel del indicador que satisface y supera las expectativas")))))</f>
        <v>Nivel del indicador que satisface y supera las expectativas</v>
      </c>
      <c r="T57" s="163">
        <v>0</v>
      </c>
      <c r="U57" s="163">
        <v>0</v>
      </c>
      <c r="V57" s="163">
        <v>1</v>
      </c>
      <c r="W57" s="56">
        <f t="shared" si="6"/>
        <v>3</v>
      </c>
      <c r="X57" s="59">
        <f t="shared" si="7"/>
        <v>1</v>
      </c>
      <c r="Y57" s="55" t="str">
        <f t="shared" si="37"/>
        <v>Nivel del indicador que satisface y supera las expectativas</v>
      </c>
      <c r="Z57" s="57"/>
      <c r="AA57" s="57"/>
      <c r="AB57" s="235">
        <v>5</v>
      </c>
      <c r="AC57" s="243">
        <f t="shared" si="38"/>
        <v>5</v>
      </c>
      <c r="AD57" s="59">
        <v>1</v>
      </c>
      <c r="AE57" s="55" t="str">
        <f t="shared" si="39"/>
        <v>Nivel del indicador que satisface y supera las expectativas</v>
      </c>
      <c r="AF57" s="57"/>
      <c r="AG57" s="57"/>
      <c r="AH57" s="57"/>
      <c r="AI57" s="56">
        <f t="shared" si="11"/>
        <v>5</v>
      </c>
      <c r="AJ57" s="59">
        <f t="shared" si="40"/>
        <v>0.83333333333333337</v>
      </c>
      <c r="AK57" s="55" t="str">
        <f t="shared" si="41"/>
        <v>Nivel del indicador que cumple las expectativas</v>
      </c>
      <c r="AP57" s="52">
        <f t="shared" si="42"/>
        <v>6</v>
      </c>
      <c r="AQ57" s="52">
        <f t="shared" si="43"/>
        <v>1.5</v>
      </c>
      <c r="AR57" s="52">
        <f t="shared" si="44"/>
        <v>2</v>
      </c>
      <c r="AS57" s="79">
        <f t="shared" si="45"/>
        <v>1.3333333333333333</v>
      </c>
      <c r="AT57" s="79">
        <f t="shared" si="46"/>
        <v>0.33333333333333337</v>
      </c>
      <c r="AU57" s="52">
        <f t="shared" si="47"/>
        <v>3</v>
      </c>
      <c r="AV57" s="77">
        <f t="shared" si="48"/>
        <v>3.3333333333333335</v>
      </c>
      <c r="AW57" s="79">
        <f t="shared" si="49"/>
        <v>1.1111111111111112</v>
      </c>
      <c r="AX57" s="79">
        <f t="shared" si="50"/>
        <v>0.55555555555555569</v>
      </c>
      <c r="AY57" s="52">
        <f t="shared" si="51"/>
        <v>4.5</v>
      </c>
      <c r="AZ57" s="77">
        <f t="shared" si="52"/>
        <v>8.3333333333333339</v>
      </c>
      <c r="BA57" s="79">
        <f t="shared" si="53"/>
        <v>1.8518518518518521</v>
      </c>
      <c r="BB57" s="79">
        <f t="shared" si="54"/>
        <v>1.3888888888888888</v>
      </c>
      <c r="BC57" s="52">
        <f t="shared" si="55"/>
        <v>6</v>
      </c>
      <c r="BD57" s="77">
        <f t="shared" si="56"/>
        <v>13.333333333333334</v>
      </c>
      <c r="BE57" s="79">
        <f t="shared" si="57"/>
        <v>2.2222222222222223</v>
      </c>
      <c r="BF57" s="79">
        <f t="shared" si="58"/>
        <v>2.2222222222222228</v>
      </c>
    </row>
    <row r="58" spans="1:58" ht="25.5" x14ac:dyDescent="0.25">
      <c r="A58" s="294"/>
      <c r="B58" s="57" t="s">
        <v>344</v>
      </c>
      <c r="C58" s="54" t="s">
        <v>345</v>
      </c>
      <c r="D58" s="58" t="s">
        <v>612</v>
      </c>
      <c r="E58" s="58">
        <v>1</v>
      </c>
      <c r="F58" s="206">
        <v>0.25</v>
      </c>
      <c r="G58" s="206">
        <f t="shared" si="1"/>
        <v>0.25</v>
      </c>
      <c r="H58" s="206">
        <v>2</v>
      </c>
      <c r="I58" s="206">
        <f t="shared" si="2"/>
        <v>0.5</v>
      </c>
      <c r="J58" s="206">
        <v>0.75</v>
      </c>
      <c r="K58" s="206">
        <f t="shared" si="3"/>
        <v>0.75</v>
      </c>
      <c r="L58" s="206">
        <v>1</v>
      </c>
      <c r="M58" s="206">
        <f t="shared" si="4"/>
        <v>1</v>
      </c>
      <c r="N58" s="147">
        <v>0</v>
      </c>
      <c r="O58" s="147">
        <v>0</v>
      </c>
      <c r="P58" s="147">
        <v>0.4</v>
      </c>
      <c r="Q58" s="57">
        <f t="shared" si="36"/>
        <v>0.4</v>
      </c>
      <c r="R58" s="59">
        <v>1</v>
      </c>
      <c r="S58" s="55" t="str">
        <f t="shared" ref="S58:S61" si="63">IF(AND(E58&gt;0,Q58=0),"¡¡Ojo No se Ejecutaron Actividades!!",IF(R58="","",IF(R58&lt;8.99%,"Se ha avanzado muy poco o nada en este indicador",IF(R58&lt;=19.99%,"Nivel Aceptable del Indicador",IF(R58&lt;=24.99%,"Nivel del indicador que cumple las expectativas","Nivel del indicador que satisface y supera las expectativas")))))</f>
        <v>Nivel del indicador que satisface y supera las expectativas</v>
      </c>
      <c r="T58" s="189">
        <v>5.5555555555555698E-2</v>
      </c>
      <c r="U58" s="189">
        <v>5.5555555555555698E-2</v>
      </c>
      <c r="V58" s="189">
        <v>5.5555555555555698E-2</v>
      </c>
      <c r="W58" s="243">
        <f t="shared" si="6"/>
        <v>0.5666666666666671</v>
      </c>
      <c r="X58" s="59">
        <v>1</v>
      </c>
      <c r="Y58" s="55" t="str">
        <f t="shared" si="37"/>
        <v>Nivel del indicador que satisface y supera las expectativas</v>
      </c>
      <c r="Z58" s="57"/>
      <c r="AA58" s="57"/>
      <c r="AB58" s="243">
        <v>0.46666600000000003</v>
      </c>
      <c r="AC58" s="243">
        <f t="shared" si="38"/>
        <v>0.46666600000000003</v>
      </c>
      <c r="AD58" s="59">
        <f t="shared" si="34"/>
        <v>0.6222213333333334</v>
      </c>
      <c r="AE58" s="55" t="str">
        <f t="shared" si="39"/>
        <v>Nivel del indicador que cumple las expectativas</v>
      </c>
      <c r="AF58" s="57"/>
      <c r="AG58" s="57"/>
      <c r="AH58" s="57"/>
      <c r="AI58" s="238">
        <f t="shared" si="11"/>
        <v>0.46666600000000003</v>
      </c>
      <c r="AJ58" s="59">
        <f t="shared" si="40"/>
        <v>0.46666600000000003</v>
      </c>
      <c r="AK58" s="55" t="str">
        <f t="shared" si="41"/>
        <v>Nivel Aceptable del Indicador</v>
      </c>
      <c r="AP58" s="52">
        <f t="shared" si="42"/>
        <v>1</v>
      </c>
      <c r="AQ58" s="52">
        <f t="shared" si="43"/>
        <v>0.25</v>
      </c>
      <c r="AR58" s="52">
        <f t="shared" si="44"/>
        <v>0.4</v>
      </c>
      <c r="AS58" s="79">
        <f t="shared" si="45"/>
        <v>1.6</v>
      </c>
      <c r="AT58" s="79">
        <f t="shared" si="46"/>
        <v>0.4</v>
      </c>
      <c r="AU58" s="52">
        <f t="shared" si="47"/>
        <v>0.5</v>
      </c>
      <c r="AV58" s="77">
        <f t="shared" si="48"/>
        <v>0.96666666666666712</v>
      </c>
      <c r="AW58" s="79">
        <f t="shared" si="49"/>
        <v>1.9333333333333342</v>
      </c>
      <c r="AX58" s="79">
        <f t="shared" si="50"/>
        <v>0.96666666666666712</v>
      </c>
      <c r="AY58" s="52">
        <f t="shared" si="51"/>
        <v>0.75</v>
      </c>
      <c r="AZ58" s="77">
        <f t="shared" si="52"/>
        <v>1.4333326666666673</v>
      </c>
      <c r="BA58" s="79">
        <f t="shared" si="53"/>
        <v>1.9111102222222229</v>
      </c>
      <c r="BB58" s="79">
        <f t="shared" si="54"/>
        <v>1.4333326666666673</v>
      </c>
      <c r="BC58" s="52">
        <f t="shared" si="55"/>
        <v>1</v>
      </c>
      <c r="BD58" s="77">
        <f t="shared" si="56"/>
        <v>1.8999986666666673</v>
      </c>
      <c r="BE58" s="79">
        <f t="shared" si="57"/>
        <v>1.8999986666666673</v>
      </c>
      <c r="BF58" s="79">
        <f t="shared" si="58"/>
        <v>1.8999986666666673</v>
      </c>
    </row>
    <row r="59" spans="1:58" ht="60" x14ac:dyDescent="0.25">
      <c r="A59" s="57" t="s">
        <v>346</v>
      </c>
      <c r="B59" s="57" t="s">
        <v>347</v>
      </c>
      <c r="C59" s="54" t="s">
        <v>348</v>
      </c>
      <c r="D59" s="58" t="s">
        <v>613</v>
      </c>
      <c r="E59" s="98">
        <v>1</v>
      </c>
      <c r="F59" s="206">
        <v>0.25</v>
      </c>
      <c r="G59" s="206">
        <f t="shared" si="1"/>
        <v>0.25</v>
      </c>
      <c r="H59" s="206">
        <v>2</v>
      </c>
      <c r="I59" s="206">
        <f t="shared" si="2"/>
        <v>0.5</v>
      </c>
      <c r="J59" s="206">
        <v>0.75</v>
      </c>
      <c r="K59" s="206">
        <f t="shared" si="3"/>
        <v>0.75</v>
      </c>
      <c r="L59" s="206">
        <v>1</v>
      </c>
      <c r="M59" s="206">
        <f t="shared" si="4"/>
        <v>1</v>
      </c>
      <c r="N59" s="147">
        <v>0</v>
      </c>
      <c r="O59" s="147">
        <v>0</v>
      </c>
      <c r="P59" s="147">
        <v>0.1</v>
      </c>
      <c r="Q59" s="57">
        <f t="shared" si="36"/>
        <v>0.1</v>
      </c>
      <c r="R59" s="59">
        <f t="shared" si="32"/>
        <v>0.4</v>
      </c>
      <c r="S59" s="55" t="str">
        <f t="shared" si="63"/>
        <v>Nivel del indicador que satisface y supera las expectativas</v>
      </c>
      <c r="T59" s="163">
        <v>0.2</v>
      </c>
      <c r="U59" s="163">
        <v>0.2</v>
      </c>
      <c r="V59" s="163">
        <v>0.2</v>
      </c>
      <c r="W59" s="243">
        <f t="shared" si="6"/>
        <v>0.70000000000000007</v>
      </c>
      <c r="X59" s="59">
        <v>1</v>
      </c>
      <c r="Y59" s="55" t="str">
        <f t="shared" si="37"/>
        <v>Nivel del indicador que satisface y supera las expectativas</v>
      </c>
      <c r="Z59" s="57"/>
      <c r="AA59" s="57"/>
      <c r="AB59" s="235">
        <v>0.7</v>
      </c>
      <c r="AC59" s="243">
        <f t="shared" si="38"/>
        <v>0.7</v>
      </c>
      <c r="AD59" s="59">
        <f t="shared" si="34"/>
        <v>0.93333333333333324</v>
      </c>
      <c r="AE59" s="55" t="str">
        <f t="shared" si="39"/>
        <v>Nivel del indicador que satisface y supera las expectativas</v>
      </c>
      <c r="AF59" s="57"/>
      <c r="AG59" s="57"/>
      <c r="AH59" s="57"/>
      <c r="AI59" s="238">
        <f t="shared" si="11"/>
        <v>0.7</v>
      </c>
      <c r="AJ59" s="59">
        <f t="shared" si="40"/>
        <v>0.7</v>
      </c>
      <c r="AK59" s="55" t="str">
        <f t="shared" si="41"/>
        <v>Nivel Aceptable del Indicador</v>
      </c>
      <c r="AP59" s="52">
        <f t="shared" si="42"/>
        <v>1</v>
      </c>
      <c r="AQ59" s="52">
        <f t="shared" si="43"/>
        <v>0.25</v>
      </c>
      <c r="AR59" s="52">
        <f t="shared" si="44"/>
        <v>0.1</v>
      </c>
      <c r="AS59" s="79">
        <f t="shared" si="45"/>
        <v>0.4</v>
      </c>
      <c r="AT59" s="79">
        <f t="shared" si="46"/>
        <v>0.1</v>
      </c>
      <c r="AU59" s="52">
        <f t="shared" si="47"/>
        <v>0.5</v>
      </c>
      <c r="AV59" s="77">
        <f t="shared" si="48"/>
        <v>0.8</v>
      </c>
      <c r="AW59" s="79">
        <f t="shared" si="49"/>
        <v>1.6</v>
      </c>
      <c r="AX59" s="79">
        <f t="shared" si="50"/>
        <v>0.8</v>
      </c>
      <c r="AY59" s="52">
        <f t="shared" si="51"/>
        <v>0.75</v>
      </c>
      <c r="AZ59" s="77">
        <f t="shared" si="52"/>
        <v>1.5</v>
      </c>
      <c r="BA59" s="79">
        <f t="shared" si="53"/>
        <v>2</v>
      </c>
      <c r="BB59" s="79">
        <f t="shared" si="54"/>
        <v>1.5</v>
      </c>
      <c r="BC59" s="52">
        <f t="shared" si="55"/>
        <v>1</v>
      </c>
      <c r="BD59" s="77">
        <f t="shared" si="56"/>
        <v>2.2000000000000002</v>
      </c>
      <c r="BE59" s="79">
        <f t="shared" si="57"/>
        <v>2.2000000000000002</v>
      </c>
      <c r="BF59" s="79">
        <f t="shared" si="58"/>
        <v>2.2000000000000002</v>
      </c>
    </row>
    <row r="60" spans="1:58" ht="60.75" customHeight="1" x14ac:dyDescent="0.25">
      <c r="A60" s="292" t="s">
        <v>349</v>
      </c>
      <c r="B60" s="57" t="s">
        <v>350</v>
      </c>
      <c r="C60" s="54" t="s">
        <v>351</v>
      </c>
      <c r="D60" s="58" t="s">
        <v>614</v>
      </c>
      <c r="E60" s="58">
        <v>2</v>
      </c>
      <c r="F60" s="206">
        <v>0.25</v>
      </c>
      <c r="G60" s="206">
        <f t="shared" si="1"/>
        <v>0.5</v>
      </c>
      <c r="H60" s="206">
        <v>2</v>
      </c>
      <c r="I60" s="206">
        <f t="shared" si="2"/>
        <v>1</v>
      </c>
      <c r="J60" s="206">
        <v>0.75</v>
      </c>
      <c r="K60" s="206">
        <f t="shared" si="3"/>
        <v>1.5</v>
      </c>
      <c r="L60" s="206">
        <v>1</v>
      </c>
      <c r="M60" s="206">
        <f t="shared" si="4"/>
        <v>2</v>
      </c>
      <c r="N60" s="147">
        <v>2</v>
      </c>
      <c r="O60" s="147">
        <v>0</v>
      </c>
      <c r="P60" s="147">
        <v>0</v>
      </c>
      <c r="Q60" s="57">
        <f t="shared" si="36"/>
        <v>2</v>
      </c>
      <c r="R60" s="59">
        <v>1</v>
      </c>
      <c r="S60" s="55" t="str">
        <f t="shared" si="63"/>
        <v>Nivel del indicador que satisface y supera las expectativas</v>
      </c>
      <c r="T60" s="163">
        <v>1</v>
      </c>
      <c r="U60" s="163">
        <v>0</v>
      </c>
      <c r="V60" s="163">
        <v>0</v>
      </c>
      <c r="W60" s="56">
        <f t="shared" si="6"/>
        <v>3</v>
      </c>
      <c r="X60" s="59">
        <v>1</v>
      </c>
      <c r="Y60" s="55" t="str">
        <f t="shared" si="37"/>
        <v>Nivel del indicador que satisface y supera las expectativas</v>
      </c>
      <c r="Z60" s="57"/>
      <c r="AA60" s="57"/>
      <c r="AB60" s="214">
        <v>3</v>
      </c>
      <c r="AC60" s="243">
        <f t="shared" si="38"/>
        <v>3</v>
      </c>
      <c r="AD60" s="59">
        <v>1</v>
      </c>
      <c r="AE60" s="55" t="str">
        <f t="shared" si="39"/>
        <v>Nivel del indicador que satisface y supera las expectativas</v>
      </c>
      <c r="AF60" s="57"/>
      <c r="AG60" s="57"/>
      <c r="AH60" s="57"/>
      <c r="AI60" s="56">
        <f t="shared" si="11"/>
        <v>3</v>
      </c>
      <c r="AJ60" s="59">
        <f t="shared" si="40"/>
        <v>1.5</v>
      </c>
      <c r="AK60" s="55" t="str">
        <f t="shared" si="41"/>
        <v>Nivel del indicador que satisface y supera las expectativas</v>
      </c>
      <c r="AP60" s="52">
        <f t="shared" si="42"/>
        <v>2</v>
      </c>
      <c r="AQ60" s="52">
        <f t="shared" si="43"/>
        <v>0.5</v>
      </c>
      <c r="AR60" s="52">
        <f t="shared" si="44"/>
        <v>2</v>
      </c>
      <c r="AS60" s="79">
        <f t="shared" si="45"/>
        <v>4</v>
      </c>
      <c r="AT60" s="79">
        <f t="shared" si="46"/>
        <v>1</v>
      </c>
      <c r="AU60" s="52">
        <f t="shared" si="47"/>
        <v>1</v>
      </c>
      <c r="AV60" s="77">
        <f t="shared" si="48"/>
        <v>4</v>
      </c>
      <c r="AW60" s="79">
        <f t="shared" si="49"/>
        <v>4</v>
      </c>
      <c r="AX60" s="79">
        <f t="shared" si="50"/>
        <v>2</v>
      </c>
      <c r="AY60" s="52">
        <f t="shared" si="51"/>
        <v>1.5</v>
      </c>
      <c r="AZ60" s="77">
        <f t="shared" si="52"/>
        <v>7</v>
      </c>
      <c r="BA60" s="79">
        <f t="shared" si="53"/>
        <v>4.666666666666667</v>
      </c>
      <c r="BB60" s="79">
        <f t="shared" si="54"/>
        <v>3.5</v>
      </c>
      <c r="BC60" s="52">
        <f t="shared" si="55"/>
        <v>2</v>
      </c>
      <c r="BD60" s="77">
        <f t="shared" si="56"/>
        <v>10</v>
      </c>
      <c r="BE60" s="79">
        <f t="shared" si="57"/>
        <v>5</v>
      </c>
      <c r="BF60" s="79">
        <f t="shared" si="58"/>
        <v>5</v>
      </c>
    </row>
    <row r="61" spans="1:58" ht="69" customHeight="1" x14ac:dyDescent="0.25">
      <c r="A61" s="293"/>
      <c r="B61" s="57" t="s">
        <v>352</v>
      </c>
      <c r="C61" s="54" t="s">
        <v>353</v>
      </c>
      <c r="D61" s="58" t="s">
        <v>615</v>
      </c>
      <c r="E61" s="98">
        <v>2</v>
      </c>
      <c r="F61" s="206">
        <v>0.25</v>
      </c>
      <c r="G61" s="206">
        <f t="shared" si="1"/>
        <v>0.5</v>
      </c>
      <c r="H61" s="206">
        <v>2</v>
      </c>
      <c r="I61" s="206">
        <f t="shared" si="2"/>
        <v>1</v>
      </c>
      <c r="J61" s="206">
        <v>0.75</v>
      </c>
      <c r="K61" s="206">
        <f t="shared" si="3"/>
        <v>1.5</v>
      </c>
      <c r="L61" s="206">
        <v>1</v>
      </c>
      <c r="M61" s="206">
        <f t="shared" si="4"/>
        <v>2</v>
      </c>
      <c r="N61" s="147">
        <v>0</v>
      </c>
      <c r="O61" s="147">
        <v>0</v>
      </c>
      <c r="P61" s="147">
        <v>0.02</v>
      </c>
      <c r="Q61" s="57">
        <f t="shared" si="36"/>
        <v>0.02</v>
      </c>
      <c r="R61" s="59">
        <f t="shared" si="32"/>
        <v>0.04</v>
      </c>
      <c r="S61" s="55" t="str">
        <f t="shared" si="63"/>
        <v>Se ha avanzado muy poco o nada en este indicador</v>
      </c>
      <c r="T61" s="163">
        <v>0</v>
      </c>
      <c r="U61" s="163">
        <v>0</v>
      </c>
      <c r="V61" s="163">
        <v>1.98</v>
      </c>
      <c r="W61" s="56">
        <f t="shared" si="6"/>
        <v>2</v>
      </c>
      <c r="X61" s="59">
        <v>1</v>
      </c>
      <c r="Y61" s="55" t="str">
        <f t="shared" si="37"/>
        <v>Nivel del indicador que satisface y supera las expectativas</v>
      </c>
      <c r="Z61" s="57"/>
      <c r="AA61" s="57"/>
      <c r="AB61" s="214">
        <v>3</v>
      </c>
      <c r="AC61" s="243">
        <f t="shared" si="38"/>
        <v>3</v>
      </c>
      <c r="AD61" s="59">
        <v>1</v>
      </c>
      <c r="AE61" s="55" t="str">
        <f t="shared" si="39"/>
        <v>Nivel del indicador que satisface y supera las expectativas</v>
      </c>
      <c r="AF61" s="57"/>
      <c r="AG61" s="57"/>
      <c r="AH61" s="57"/>
      <c r="AI61" s="56">
        <f t="shared" si="11"/>
        <v>3</v>
      </c>
      <c r="AJ61" s="59">
        <f t="shared" si="40"/>
        <v>1.5</v>
      </c>
      <c r="AK61" s="55" t="str">
        <f t="shared" si="41"/>
        <v>Nivel del indicador que satisface y supera las expectativas</v>
      </c>
      <c r="AP61" s="52">
        <f t="shared" si="42"/>
        <v>2</v>
      </c>
      <c r="AQ61" s="52">
        <f t="shared" si="43"/>
        <v>0.5</v>
      </c>
      <c r="AR61" s="52">
        <f t="shared" si="44"/>
        <v>0.02</v>
      </c>
      <c r="AS61" s="79">
        <f t="shared" si="45"/>
        <v>0.04</v>
      </c>
      <c r="AT61" s="79">
        <f t="shared" si="46"/>
        <v>0.01</v>
      </c>
      <c r="AU61" s="52">
        <f t="shared" si="47"/>
        <v>1</v>
      </c>
      <c r="AV61" s="77">
        <f t="shared" si="48"/>
        <v>2.0099999999999998</v>
      </c>
      <c r="AW61" s="79">
        <f t="shared" si="49"/>
        <v>2.0099999999999998</v>
      </c>
      <c r="AX61" s="79">
        <f t="shared" si="50"/>
        <v>1.0049999999999999</v>
      </c>
      <c r="AY61" s="52">
        <f t="shared" si="51"/>
        <v>1.5</v>
      </c>
      <c r="AZ61" s="77">
        <f t="shared" si="52"/>
        <v>5.01</v>
      </c>
      <c r="BA61" s="79">
        <f t="shared" si="53"/>
        <v>3.34</v>
      </c>
      <c r="BB61" s="79">
        <f t="shared" si="54"/>
        <v>2.5049999999999999</v>
      </c>
      <c r="BC61" s="52">
        <f t="shared" si="55"/>
        <v>2</v>
      </c>
      <c r="BD61" s="77">
        <f t="shared" si="56"/>
        <v>8.01</v>
      </c>
      <c r="BE61" s="79">
        <f t="shared" si="57"/>
        <v>4.0049999999999999</v>
      </c>
      <c r="BF61" s="79">
        <f t="shared" si="58"/>
        <v>4.0049999999999999</v>
      </c>
    </row>
    <row r="62" spans="1:58" ht="45" x14ac:dyDescent="0.25">
      <c r="A62" s="294"/>
      <c r="B62" s="57" t="s">
        <v>354</v>
      </c>
      <c r="C62" s="54" t="s">
        <v>355</v>
      </c>
      <c r="D62" s="58" t="s">
        <v>616</v>
      </c>
      <c r="E62" s="58">
        <v>1</v>
      </c>
      <c r="F62" s="206">
        <v>0.25</v>
      </c>
      <c r="G62" s="206">
        <f t="shared" si="1"/>
        <v>0.25</v>
      </c>
      <c r="H62" s="206">
        <v>2</v>
      </c>
      <c r="I62" s="206">
        <f t="shared" si="2"/>
        <v>0.5</v>
      </c>
      <c r="J62" s="206">
        <v>0.75</v>
      </c>
      <c r="K62" s="206">
        <f t="shared" si="3"/>
        <v>0.75</v>
      </c>
      <c r="L62" s="206">
        <v>1</v>
      </c>
      <c r="M62" s="206">
        <f t="shared" si="4"/>
        <v>1</v>
      </c>
      <c r="N62" s="147">
        <v>0</v>
      </c>
      <c r="O62" s="147">
        <v>0</v>
      </c>
      <c r="P62" s="147">
        <v>0.2</v>
      </c>
      <c r="Q62" s="57">
        <f t="shared" si="36"/>
        <v>0.2</v>
      </c>
      <c r="R62" s="59">
        <f t="shared" si="32"/>
        <v>0.8</v>
      </c>
      <c r="S62" s="55" t="str">
        <f t="shared" si="62"/>
        <v>Nivel del indicador que satisface y supera las expectativas</v>
      </c>
      <c r="T62" s="163">
        <v>0.1</v>
      </c>
      <c r="U62" s="163">
        <v>0.1</v>
      </c>
      <c r="V62" s="163">
        <v>0.1</v>
      </c>
      <c r="W62" s="243">
        <f t="shared" si="6"/>
        <v>0.5</v>
      </c>
      <c r="X62" s="59">
        <f t="shared" si="7"/>
        <v>1</v>
      </c>
      <c r="Y62" s="55" t="str">
        <f t="shared" si="37"/>
        <v>Nivel del indicador que satisface y supera las expectativas</v>
      </c>
      <c r="Z62" s="57"/>
      <c r="AA62" s="57"/>
      <c r="AB62" s="235">
        <v>0.8</v>
      </c>
      <c r="AC62" s="243">
        <f t="shared" si="38"/>
        <v>0.8</v>
      </c>
      <c r="AD62" s="59">
        <v>1</v>
      </c>
      <c r="AE62" s="55" t="str">
        <f t="shared" si="39"/>
        <v>Nivel del indicador que satisface y supera las expectativas</v>
      </c>
      <c r="AF62" s="57"/>
      <c r="AG62" s="57"/>
      <c r="AH62" s="57"/>
      <c r="AI62" s="56">
        <f t="shared" si="11"/>
        <v>0.8</v>
      </c>
      <c r="AJ62" s="59">
        <f t="shared" si="40"/>
        <v>0.8</v>
      </c>
      <c r="AK62" s="55" t="str">
        <f t="shared" si="41"/>
        <v>Nivel del indicador que cumple las expectativas</v>
      </c>
      <c r="AP62" s="52">
        <f t="shared" si="42"/>
        <v>1</v>
      </c>
      <c r="AQ62" s="52">
        <f t="shared" si="43"/>
        <v>0.25</v>
      </c>
      <c r="AR62" s="52">
        <f t="shared" si="44"/>
        <v>0.2</v>
      </c>
      <c r="AS62" s="79">
        <f t="shared" si="45"/>
        <v>0.8</v>
      </c>
      <c r="AT62" s="79">
        <f t="shared" si="46"/>
        <v>0.2</v>
      </c>
      <c r="AU62" s="52">
        <f t="shared" si="47"/>
        <v>0.5</v>
      </c>
      <c r="AV62" s="77">
        <f t="shared" si="48"/>
        <v>0.7</v>
      </c>
      <c r="AW62" s="79">
        <f t="shared" si="49"/>
        <v>1.4</v>
      </c>
      <c r="AX62" s="79">
        <f t="shared" si="50"/>
        <v>0.7</v>
      </c>
      <c r="AY62" s="52">
        <f t="shared" si="51"/>
        <v>0.75</v>
      </c>
      <c r="AZ62" s="77">
        <f t="shared" si="52"/>
        <v>1.5</v>
      </c>
      <c r="BA62" s="79">
        <f t="shared" si="53"/>
        <v>2</v>
      </c>
      <c r="BB62" s="79">
        <f t="shared" si="54"/>
        <v>1.5</v>
      </c>
      <c r="BC62" s="52">
        <f t="shared" si="55"/>
        <v>1</v>
      </c>
      <c r="BD62" s="77">
        <f t="shared" si="56"/>
        <v>2.2999999999999998</v>
      </c>
      <c r="BE62" s="79">
        <f t="shared" si="57"/>
        <v>2.2999999999999998</v>
      </c>
      <c r="BF62" s="79">
        <f t="shared" si="58"/>
        <v>2.2999999999999998</v>
      </c>
    </row>
    <row r="63" spans="1:58" ht="84.75" customHeight="1" x14ac:dyDescent="0.25">
      <c r="A63" s="292" t="s">
        <v>356</v>
      </c>
      <c r="B63" s="95" t="s">
        <v>357</v>
      </c>
      <c r="C63" s="96" t="s">
        <v>561</v>
      </c>
      <c r="D63" s="96" t="s">
        <v>562</v>
      </c>
      <c r="E63" s="96">
        <v>1</v>
      </c>
      <c r="F63" s="206">
        <v>0.25</v>
      </c>
      <c r="G63" s="206">
        <f t="shared" si="1"/>
        <v>0.25</v>
      </c>
      <c r="H63" s="206">
        <v>2</v>
      </c>
      <c r="I63" s="206">
        <f t="shared" si="2"/>
        <v>0.5</v>
      </c>
      <c r="J63" s="206">
        <v>0.75</v>
      </c>
      <c r="K63" s="206">
        <f t="shared" si="3"/>
        <v>0.75</v>
      </c>
      <c r="L63" s="206">
        <v>1</v>
      </c>
      <c r="M63" s="206">
        <f t="shared" si="4"/>
        <v>1</v>
      </c>
      <c r="N63" s="147">
        <v>0</v>
      </c>
      <c r="O63" s="147">
        <v>0</v>
      </c>
      <c r="P63" s="193">
        <v>1E-4</v>
      </c>
      <c r="Q63" s="146">
        <f t="shared" si="36"/>
        <v>1E-4</v>
      </c>
      <c r="R63" s="59">
        <f t="shared" si="32"/>
        <v>4.0000000000000002E-4</v>
      </c>
      <c r="S63" s="55" t="str">
        <f t="shared" ref="S63:S65" si="64">IF(AND(E63&gt;0,Q63=0),"¡¡Ojo No se Ejecutaron Actividades!!",IF(R63="","",IF(R63&lt;8.99%,"Se ha avanzado muy poco o nada en este indicador",IF(R63&lt;=19.99%,"Nivel Aceptable del Indicador",IF(R63&lt;=24.99%,"Nivel del indicador que cumple las expectativas","Nivel del indicador que satisface y supera las expectativas")))))</f>
        <v>Se ha avanzado muy poco o nada en este indicador</v>
      </c>
      <c r="T63" s="163">
        <v>0</v>
      </c>
      <c r="U63" s="163">
        <v>0</v>
      </c>
      <c r="V63" s="163">
        <v>4</v>
      </c>
      <c r="W63" s="56">
        <f t="shared" si="6"/>
        <v>4.0000999999999998</v>
      </c>
      <c r="X63" s="59">
        <v>1</v>
      </c>
      <c r="Y63" s="55" t="str">
        <f t="shared" ref="Y63:Y65" si="65">IF(AND(E63&gt;0,W63=0),"¡¡Ojo No se Ejecutaron Actividades!!",IF(X63="","",IF(X63&lt;15.99%,"Se ha avanzado muy poco o nada en este indicador",IF(X63&lt;=36.99%,"Nivel Aceptable del Indicador",IF(X63&lt;=49.99%,"Nivel del indicador que cumple las expectativas","Nivel del indicador que satisface y supera las expectativas")))))</f>
        <v>Nivel del indicador que satisface y supera las expectativas</v>
      </c>
      <c r="Z63" s="57"/>
      <c r="AA63" s="57"/>
      <c r="AB63" s="214">
        <v>4</v>
      </c>
      <c r="AC63" s="243">
        <f t="shared" si="38"/>
        <v>4</v>
      </c>
      <c r="AD63" s="59">
        <v>1</v>
      </c>
      <c r="AE63" s="55" t="str">
        <f t="shared" si="39"/>
        <v>Nivel del indicador que satisface y supera las expectativas</v>
      </c>
      <c r="AF63" s="57"/>
      <c r="AG63" s="57"/>
      <c r="AH63" s="57"/>
      <c r="AI63" s="56">
        <f t="shared" si="11"/>
        <v>4</v>
      </c>
      <c r="AJ63" s="59">
        <f t="shared" ref="AJ63:AJ65" si="66">IFERROR((IF(AI63&gt;0,AI63/E63,"")),0)</f>
        <v>4</v>
      </c>
      <c r="AK63" s="55" t="str">
        <f t="shared" ref="AK63:AK65" si="67">IF(AND(E63&gt;0,AI63=0),"¡¡Ojo No se Ejecutaron Actividades!!",IF(AJ63="","",IF(AJ63&lt;33.99%,"Se ha avanzado muy poco o nada en este indicador",IF(AJ63&lt;=75.99%,"Nivel Aceptable del Indicador",IF(AJ63&lt;=98.99%,"Nivel del indicador que cumple las expectativas","Nivel del indicador que satisface y supera las expectativas")))))</f>
        <v>Nivel del indicador que satisface y supera las expectativas</v>
      </c>
      <c r="AP63" s="52"/>
      <c r="AQ63" s="52"/>
      <c r="AR63" s="52"/>
      <c r="AS63" s="79"/>
      <c r="AT63" s="79"/>
      <c r="AU63" s="52"/>
      <c r="AV63" s="77"/>
      <c r="AW63" s="79"/>
      <c r="AX63" s="79"/>
      <c r="AY63" s="52"/>
      <c r="AZ63" s="77"/>
      <c r="BA63" s="79"/>
      <c r="BB63" s="79"/>
      <c r="BC63" s="52"/>
      <c r="BD63" s="77"/>
      <c r="BE63" s="79"/>
      <c r="BF63" s="79"/>
    </row>
    <row r="64" spans="1:58" ht="30" x14ac:dyDescent="0.25">
      <c r="A64" s="293"/>
      <c r="B64" s="95" t="s">
        <v>359</v>
      </c>
      <c r="C64" s="96" t="s">
        <v>563</v>
      </c>
      <c r="D64" s="96" t="s">
        <v>564</v>
      </c>
      <c r="E64" s="97">
        <v>1</v>
      </c>
      <c r="F64" s="206">
        <v>0.25</v>
      </c>
      <c r="G64" s="206">
        <f t="shared" si="1"/>
        <v>0.25</v>
      </c>
      <c r="H64" s="206">
        <v>2</v>
      </c>
      <c r="I64" s="206">
        <f t="shared" si="2"/>
        <v>0.5</v>
      </c>
      <c r="J64" s="206">
        <v>0.75</v>
      </c>
      <c r="K64" s="206">
        <f t="shared" si="3"/>
        <v>0.75</v>
      </c>
      <c r="L64" s="206">
        <v>1</v>
      </c>
      <c r="M64" s="206">
        <f t="shared" si="4"/>
        <v>1</v>
      </c>
      <c r="N64" s="147">
        <v>0</v>
      </c>
      <c r="O64" s="147">
        <v>0</v>
      </c>
      <c r="P64" s="147">
        <v>0.01</v>
      </c>
      <c r="Q64" s="146">
        <f t="shared" si="36"/>
        <v>0.01</v>
      </c>
      <c r="R64" s="59">
        <f t="shared" si="32"/>
        <v>0.04</v>
      </c>
      <c r="S64" s="55" t="str">
        <f t="shared" si="64"/>
        <v>Se ha avanzado muy poco o nada en este indicador</v>
      </c>
      <c r="T64" s="163">
        <v>0</v>
      </c>
      <c r="U64" s="163">
        <v>1</v>
      </c>
      <c r="V64" s="163">
        <v>0</v>
      </c>
      <c r="W64" s="56">
        <f t="shared" si="6"/>
        <v>1.01</v>
      </c>
      <c r="X64" s="59">
        <v>1</v>
      </c>
      <c r="Y64" s="55" t="str">
        <f t="shared" si="65"/>
        <v>Nivel del indicador que satisface y supera las expectativas</v>
      </c>
      <c r="Z64" s="57"/>
      <c r="AA64" s="57"/>
      <c r="AB64" s="214">
        <v>1</v>
      </c>
      <c r="AC64" s="243">
        <f t="shared" si="38"/>
        <v>1</v>
      </c>
      <c r="AD64" s="59">
        <v>1</v>
      </c>
      <c r="AE64" s="55" t="str">
        <f t="shared" si="39"/>
        <v>Nivel del indicador que satisface y supera las expectativas</v>
      </c>
      <c r="AF64" s="57"/>
      <c r="AG64" s="57"/>
      <c r="AH64" s="57"/>
      <c r="AI64" s="56">
        <f t="shared" si="11"/>
        <v>1</v>
      </c>
      <c r="AJ64" s="59">
        <f t="shared" si="66"/>
        <v>1</v>
      </c>
      <c r="AK64" s="55" t="str">
        <f t="shared" si="67"/>
        <v>Nivel del indicador que satisface y supera las expectativas</v>
      </c>
      <c r="AM64" s="239"/>
      <c r="AP64" s="52"/>
      <c r="AQ64" s="52"/>
      <c r="AR64" s="52"/>
      <c r="AS64" s="79"/>
      <c r="AT64" s="79"/>
      <c r="AU64" s="52"/>
      <c r="AV64" s="77"/>
      <c r="AW64" s="79"/>
      <c r="AX64" s="79"/>
      <c r="AY64" s="52"/>
      <c r="AZ64" s="77"/>
      <c r="BA64" s="79"/>
      <c r="BB64" s="79"/>
      <c r="BC64" s="52"/>
      <c r="BD64" s="77"/>
      <c r="BE64" s="79"/>
      <c r="BF64" s="79"/>
    </row>
    <row r="65" spans="1:60" ht="60" x14ac:dyDescent="0.25">
      <c r="A65" s="293"/>
      <c r="B65" s="95" t="s">
        <v>361</v>
      </c>
      <c r="C65" s="96" t="s">
        <v>565</v>
      </c>
      <c r="D65" s="96" t="s">
        <v>566</v>
      </c>
      <c r="E65" s="97">
        <v>16</v>
      </c>
      <c r="F65" s="206">
        <v>0.25</v>
      </c>
      <c r="G65" s="206">
        <f t="shared" si="1"/>
        <v>4</v>
      </c>
      <c r="H65" s="206">
        <v>2</v>
      </c>
      <c r="I65" s="206">
        <f t="shared" si="2"/>
        <v>8</v>
      </c>
      <c r="J65" s="206">
        <v>0.75</v>
      </c>
      <c r="K65" s="206">
        <f t="shared" si="3"/>
        <v>12</v>
      </c>
      <c r="L65" s="206">
        <v>1</v>
      </c>
      <c r="M65" s="206">
        <f t="shared" si="4"/>
        <v>16</v>
      </c>
      <c r="N65" s="147">
        <v>0</v>
      </c>
      <c r="O65" s="147">
        <v>1</v>
      </c>
      <c r="P65" s="147">
        <v>5</v>
      </c>
      <c r="Q65" s="146">
        <f t="shared" si="36"/>
        <v>6</v>
      </c>
      <c r="R65" s="59">
        <v>1</v>
      </c>
      <c r="S65" s="55" t="str">
        <f t="shared" si="64"/>
        <v>Nivel del indicador que satisface y supera las expectativas</v>
      </c>
      <c r="T65" s="163">
        <v>0</v>
      </c>
      <c r="U65" s="163">
        <v>0</v>
      </c>
      <c r="V65" s="163">
        <v>4</v>
      </c>
      <c r="W65" s="56">
        <f t="shared" si="6"/>
        <v>10</v>
      </c>
      <c r="X65" s="59">
        <v>1</v>
      </c>
      <c r="Y65" s="55" t="str">
        <f t="shared" si="65"/>
        <v>Nivel del indicador que satisface y supera las expectativas</v>
      </c>
      <c r="Z65" s="57"/>
      <c r="AA65" s="57"/>
      <c r="AB65" s="214">
        <v>19</v>
      </c>
      <c r="AC65" s="243">
        <f t="shared" si="38"/>
        <v>19</v>
      </c>
      <c r="AD65" s="59">
        <v>1</v>
      </c>
      <c r="AE65" s="55" t="str">
        <f t="shared" si="39"/>
        <v>Nivel del indicador que satisface y supera las expectativas</v>
      </c>
      <c r="AF65" s="57"/>
      <c r="AG65" s="57"/>
      <c r="AH65" s="57"/>
      <c r="AI65" s="56">
        <f t="shared" si="11"/>
        <v>19</v>
      </c>
      <c r="AJ65" s="59">
        <f t="shared" si="66"/>
        <v>1.1875</v>
      </c>
      <c r="AK65" s="55" t="str">
        <f t="shared" si="67"/>
        <v>Nivel del indicador que satisface y supera las expectativas</v>
      </c>
      <c r="AP65" s="52"/>
      <c r="AQ65" s="52"/>
      <c r="AR65" s="52"/>
      <c r="AS65" s="79"/>
      <c r="AT65" s="79"/>
      <c r="AU65" s="52"/>
      <c r="AV65" s="77"/>
      <c r="AW65" s="79"/>
      <c r="AX65" s="79"/>
      <c r="AY65" s="52"/>
      <c r="AZ65" s="77"/>
      <c r="BA65" s="79"/>
      <c r="BB65" s="79"/>
      <c r="BC65" s="52"/>
      <c r="BD65" s="77"/>
      <c r="BE65" s="79"/>
      <c r="BF65" s="79"/>
    </row>
    <row r="66" spans="1:60" ht="60" x14ac:dyDescent="0.25">
      <c r="A66" s="293"/>
      <c r="B66" s="57" t="s">
        <v>558</v>
      </c>
      <c r="C66" s="54" t="s">
        <v>358</v>
      </c>
      <c r="D66" s="58" t="s">
        <v>617</v>
      </c>
      <c r="E66" s="98">
        <v>1</v>
      </c>
      <c r="F66" s="206">
        <v>0.25</v>
      </c>
      <c r="G66" s="206">
        <f t="shared" si="1"/>
        <v>0.25</v>
      </c>
      <c r="H66" s="206">
        <v>2</v>
      </c>
      <c r="I66" s="206">
        <f t="shared" si="2"/>
        <v>0.5</v>
      </c>
      <c r="J66" s="206">
        <v>0.75</v>
      </c>
      <c r="K66" s="206">
        <f t="shared" si="3"/>
        <v>0.75</v>
      </c>
      <c r="L66" s="206">
        <v>1</v>
      </c>
      <c r="M66" s="206">
        <f t="shared" si="4"/>
        <v>1</v>
      </c>
      <c r="N66" s="147">
        <v>0</v>
      </c>
      <c r="O66" s="147">
        <v>0</v>
      </c>
      <c r="P66" s="147">
        <v>4</v>
      </c>
      <c r="Q66" s="57">
        <f t="shared" si="36"/>
        <v>4</v>
      </c>
      <c r="R66" s="59">
        <v>1</v>
      </c>
      <c r="S66" s="55" t="str">
        <f t="shared" si="62"/>
        <v>Nivel del indicador que satisface y supera las expectativas</v>
      </c>
      <c r="T66" s="163">
        <v>0</v>
      </c>
      <c r="U66" s="163">
        <v>0</v>
      </c>
      <c r="V66" s="163">
        <v>0</v>
      </c>
      <c r="W66" s="56">
        <f t="shared" si="6"/>
        <v>4</v>
      </c>
      <c r="X66" s="59">
        <v>1</v>
      </c>
      <c r="Y66" s="55" t="str">
        <f t="shared" si="37"/>
        <v>Nivel del indicador que satisface y supera las expectativas</v>
      </c>
      <c r="Z66" s="57"/>
      <c r="AA66" s="57"/>
      <c r="AB66" s="214">
        <v>4</v>
      </c>
      <c r="AC66" s="243">
        <f t="shared" si="38"/>
        <v>4</v>
      </c>
      <c r="AD66" s="59">
        <v>1</v>
      </c>
      <c r="AE66" s="55" t="str">
        <f t="shared" si="39"/>
        <v>Nivel del indicador que satisface y supera las expectativas</v>
      </c>
      <c r="AF66" s="57"/>
      <c r="AG66" s="57"/>
      <c r="AH66" s="57"/>
      <c r="AI66" s="56">
        <f t="shared" si="11"/>
        <v>4</v>
      </c>
      <c r="AJ66" s="59">
        <f t="shared" si="40"/>
        <v>4</v>
      </c>
      <c r="AK66" s="55" t="str">
        <f t="shared" si="41"/>
        <v>Nivel del indicador que satisface y supera las expectativas</v>
      </c>
      <c r="AP66" s="52">
        <f t="shared" si="42"/>
        <v>1</v>
      </c>
      <c r="AQ66" s="52">
        <f t="shared" si="43"/>
        <v>0.25</v>
      </c>
      <c r="AR66" s="52">
        <f t="shared" si="44"/>
        <v>4</v>
      </c>
      <c r="AS66" s="79">
        <f t="shared" si="45"/>
        <v>16</v>
      </c>
      <c r="AT66" s="79">
        <f t="shared" si="46"/>
        <v>4</v>
      </c>
      <c r="AU66" s="52">
        <f t="shared" si="47"/>
        <v>0.5</v>
      </c>
      <c r="AV66" s="77">
        <f t="shared" si="48"/>
        <v>8</v>
      </c>
      <c r="AW66" s="79">
        <f t="shared" si="49"/>
        <v>16</v>
      </c>
      <c r="AX66" s="79">
        <f t="shared" si="50"/>
        <v>8</v>
      </c>
      <c r="AY66" s="52">
        <f t="shared" si="51"/>
        <v>0.75</v>
      </c>
      <c r="AZ66" s="77">
        <f t="shared" si="52"/>
        <v>12</v>
      </c>
      <c r="BA66" s="79">
        <f t="shared" si="53"/>
        <v>16</v>
      </c>
      <c r="BB66" s="79">
        <f t="shared" si="54"/>
        <v>12</v>
      </c>
      <c r="BC66" s="52">
        <f t="shared" si="55"/>
        <v>1</v>
      </c>
      <c r="BD66" s="77">
        <f t="shared" si="56"/>
        <v>16</v>
      </c>
      <c r="BE66" s="79">
        <f t="shared" si="57"/>
        <v>16</v>
      </c>
      <c r="BF66" s="79">
        <f t="shared" si="58"/>
        <v>16</v>
      </c>
    </row>
    <row r="67" spans="1:60" ht="75" x14ac:dyDescent="0.25">
      <c r="A67" s="293"/>
      <c r="B67" s="57" t="s">
        <v>559</v>
      </c>
      <c r="C67" s="54" t="s">
        <v>360</v>
      </c>
      <c r="D67" s="58" t="s">
        <v>618</v>
      </c>
      <c r="E67" s="98">
        <v>17</v>
      </c>
      <c r="F67" s="206">
        <v>0.25</v>
      </c>
      <c r="G67" s="206">
        <f t="shared" si="1"/>
        <v>4.25</v>
      </c>
      <c r="H67" s="206">
        <v>2</v>
      </c>
      <c r="I67" s="206">
        <f t="shared" si="2"/>
        <v>8.5</v>
      </c>
      <c r="J67" s="206">
        <v>0.75</v>
      </c>
      <c r="K67" s="206">
        <f t="shared" si="3"/>
        <v>12.75</v>
      </c>
      <c r="L67" s="206">
        <v>1</v>
      </c>
      <c r="M67" s="206">
        <f t="shared" si="4"/>
        <v>17</v>
      </c>
      <c r="N67" s="147">
        <v>0</v>
      </c>
      <c r="O67" s="147">
        <v>1</v>
      </c>
      <c r="P67" s="147">
        <v>3</v>
      </c>
      <c r="Q67" s="57">
        <f t="shared" si="36"/>
        <v>4</v>
      </c>
      <c r="R67" s="59">
        <f t="shared" si="32"/>
        <v>0.94117647058823528</v>
      </c>
      <c r="S67" s="55" t="str">
        <f t="shared" si="62"/>
        <v>Nivel del indicador que satisface y supera las expectativas</v>
      </c>
      <c r="T67" s="163">
        <v>0</v>
      </c>
      <c r="U67" s="163">
        <v>0</v>
      </c>
      <c r="V67" s="163">
        <v>4</v>
      </c>
      <c r="W67" s="56">
        <f t="shared" si="6"/>
        <v>8</v>
      </c>
      <c r="X67" s="59">
        <f t="shared" si="7"/>
        <v>0.94117647058823528</v>
      </c>
      <c r="Y67" s="55" t="str">
        <f t="shared" si="37"/>
        <v>Nivel del indicador que satisface y supera las expectativas</v>
      </c>
      <c r="Z67" s="57"/>
      <c r="AA67" s="57"/>
      <c r="AB67" s="214">
        <v>19</v>
      </c>
      <c r="AC67" s="243">
        <f t="shared" si="38"/>
        <v>19</v>
      </c>
      <c r="AD67" s="59">
        <v>1</v>
      </c>
      <c r="AE67" s="55" t="str">
        <f t="shared" si="39"/>
        <v>Nivel del indicador que satisface y supera las expectativas</v>
      </c>
      <c r="AF67" s="57"/>
      <c r="AG67" s="57"/>
      <c r="AH67" s="57"/>
      <c r="AI67" s="56">
        <f t="shared" si="11"/>
        <v>19</v>
      </c>
      <c r="AJ67" s="59">
        <f t="shared" si="40"/>
        <v>1.1176470588235294</v>
      </c>
      <c r="AK67" s="55" t="str">
        <f t="shared" si="41"/>
        <v>Nivel del indicador que satisface y supera las expectativas</v>
      </c>
      <c r="AP67" s="52">
        <f t="shared" si="42"/>
        <v>17</v>
      </c>
      <c r="AQ67" s="52">
        <f t="shared" si="43"/>
        <v>4.25</v>
      </c>
      <c r="AR67" s="52">
        <f t="shared" si="44"/>
        <v>4</v>
      </c>
      <c r="AS67" s="79">
        <f t="shared" si="45"/>
        <v>0.94117647058823528</v>
      </c>
      <c r="AT67" s="79">
        <f t="shared" si="46"/>
        <v>0.23529411764705885</v>
      </c>
      <c r="AU67" s="52">
        <f t="shared" si="47"/>
        <v>8.5</v>
      </c>
      <c r="AV67" s="77">
        <f t="shared" si="48"/>
        <v>8.235294117647058</v>
      </c>
      <c r="AW67" s="79">
        <f t="shared" si="49"/>
        <v>0.96885813148788913</v>
      </c>
      <c r="AX67" s="79">
        <f t="shared" si="50"/>
        <v>0.48442906574394462</v>
      </c>
      <c r="AY67" s="52">
        <f t="shared" si="51"/>
        <v>12.75</v>
      </c>
      <c r="AZ67" s="77">
        <f t="shared" si="52"/>
        <v>27.235294117647058</v>
      </c>
      <c r="BA67" s="79">
        <f t="shared" si="53"/>
        <v>2.1361014994232987</v>
      </c>
      <c r="BB67" s="79">
        <f t="shared" si="54"/>
        <v>1.6020761245674739</v>
      </c>
      <c r="BC67" s="52">
        <f t="shared" si="55"/>
        <v>17</v>
      </c>
      <c r="BD67" s="77">
        <f t="shared" si="56"/>
        <v>46.235294117647058</v>
      </c>
      <c r="BE67" s="79">
        <f t="shared" si="57"/>
        <v>2.7197231833910034</v>
      </c>
      <c r="BF67" s="79">
        <f t="shared" si="58"/>
        <v>2.7197231833910029</v>
      </c>
    </row>
    <row r="68" spans="1:60" ht="90" x14ac:dyDescent="0.25">
      <c r="A68" s="294"/>
      <c r="B68" s="57" t="s">
        <v>560</v>
      </c>
      <c r="C68" s="54" t="s">
        <v>362</v>
      </c>
      <c r="D68" s="58" t="s">
        <v>619</v>
      </c>
      <c r="E68" s="58">
        <v>1</v>
      </c>
      <c r="F68" s="206">
        <v>0.25</v>
      </c>
      <c r="G68" s="206">
        <f t="shared" ref="G68:G121" si="68">+E68*F68</f>
        <v>0.25</v>
      </c>
      <c r="H68" s="206">
        <v>2</v>
      </c>
      <c r="I68" s="206">
        <f t="shared" ref="I68:I120" si="69">+E68/H68</f>
        <v>0.5</v>
      </c>
      <c r="J68" s="206">
        <v>0.75</v>
      </c>
      <c r="K68" s="206">
        <f t="shared" ref="K68:K120" si="70">+J68*E68</f>
        <v>0.75</v>
      </c>
      <c r="L68" s="206">
        <v>1</v>
      </c>
      <c r="M68" s="206">
        <f t="shared" ref="M68:M121" si="71">+L68*E68</f>
        <v>1</v>
      </c>
      <c r="N68" s="147">
        <v>0</v>
      </c>
      <c r="O68" s="147">
        <v>0</v>
      </c>
      <c r="P68" s="147">
        <v>0.9</v>
      </c>
      <c r="Q68" s="57">
        <f t="shared" si="36"/>
        <v>0.9</v>
      </c>
      <c r="R68" s="59">
        <v>1</v>
      </c>
      <c r="S68" s="55" t="str">
        <f t="shared" si="62"/>
        <v>Nivel del indicador que satisface y supera las expectativas</v>
      </c>
      <c r="T68" s="163">
        <v>0</v>
      </c>
      <c r="U68" s="163">
        <v>0</v>
      </c>
      <c r="V68" s="163">
        <v>0.08</v>
      </c>
      <c r="W68" s="56">
        <f t="shared" ref="W68:W121" si="72">T68+U68+V68+Q68</f>
        <v>0.98</v>
      </c>
      <c r="X68" s="59">
        <v>1</v>
      </c>
      <c r="Y68" s="55" t="str">
        <f t="shared" si="37"/>
        <v>Nivel del indicador que satisface y supera las expectativas</v>
      </c>
      <c r="Z68" s="57"/>
      <c r="AA68" s="57"/>
      <c r="AB68" s="235">
        <v>1</v>
      </c>
      <c r="AC68" s="243">
        <f t="shared" si="38"/>
        <v>1</v>
      </c>
      <c r="AD68" s="59">
        <v>1</v>
      </c>
      <c r="AE68" s="55" t="str">
        <f t="shared" si="39"/>
        <v>Nivel del indicador que satisface y supera las expectativas</v>
      </c>
      <c r="AF68" s="57"/>
      <c r="AG68" s="57"/>
      <c r="AH68" s="57"/>
      <c r="AI68" s="56">
        <f t="shared" ref="AI68:AI121" si="73">+AC68</f>
        <v>1</v>
      </c>
      <c r="AJ68" s="59">
        <f t="shared" si="40"/>
        <v>1</v>
      </c>
      <c r="AK68" s="55" t="str">
        <f t="shared" si="41"/>
        <v>Nivel del indicador que satisface y supera las expectativas</v>
      </c>
      <c r="AP68" s="52">
        <f t="shared" si="42"/>
        <v>1</v>
      </c>
      <c r="AQ68" s="52">
        <f t="shared" si="43"/>
        <v>0.25</v>
      </c>
      <c r="AR68" s="52">
        <f t="shared" si="44"/>
        <v>0.9</v>
      </c>
      <c r="AS68" s="79">
        <f t="shared" si="45"/>
        <v>3.6</v>
      </c>
      <c r="AT68" s="79">
        <f t="shared" si="46"/>
        <v>0.9</v>
      </c>
      <c r="AU68" s="52">
        <f t="shared" si="47"/>
        <v>0.5</v>
      </c>
      <c r="AV68" s="77">
        <f t="shared" si="48"/>
        <v>1.88</v>
      </c>
      <c r="AW68" s="79">
        <f t="shared" si="49"/>
        <v>3.76</v>
      </c>
      <c r="AX68" s="79">
        <f t="shared" si="50"/>
        <v>1.88</v>
      </c>
      <c r="AY68" s="52">
        <f t="shared" si="51"/>
        <v>0.75</v>
      </c>
      <c r="AZ68" s="77">
        <f t="shared" si="52"/>
        <v>2.88</v>
      </c>
      <c r="BA68" s="79">
        <f t="shared" si="53"/>
        <v>3.84</v>
      </c>
      <c r="BB68" s="79">
        <f t="shared" si="54"/>
        <v>2.88</v>
      </c>
      <c r="BC68" s="52">
        <f t="shared" si="55"/>
        <v>1</v>
      </c>
      <c r="BD68" s="77">
        <f t="shared" si="56"/>
        <v>3.88</v>
      </c>
      <c r="BE68" s="79">
        <f t="shared" si="57"/>
        <v>3.88</v>
      </c>
      <c r="BF68" s="79">
        <f t="shared" si="58"/>
        <v>3.88</v>
      </c>
    </row>
    <row r="69" spans="1:60" ht="60" x14ac:dyDescent="0.25">
      <c r="A69" s="292" t="s">
        <v>374</v>
      </c>
      <c r="B69" s="57" t="s">
        <v>375</v>
      </c>
      <c r="C69" s="54" t="s">
        <v>376</v>
      </c>
      <c r="D69" s="96" t="s">
        <v>574</v>
      </c>
      <c r="E69" s="96">
        <v>120</v>
      </c>
      <c r="F69" s="206">
        <v>0.25</v>
      </c>
      <c r="G69" s="206">
        <f t="shared" si="68"/>
        <v>30</v>
      </c>
      <c r="H69" s="206">
        <v>2</v>
      </c>
      <c r="I69" s="206">
        <f t="shared" si="69"/>
        <v>60</v>
      </c>
      <c r="J69" s="206">
        <v>0.75</v>
      </c>
      <c r="K69" s="206">
        <f t="shared" si="70"/>
        <v>90</v>
      </c>
      <c r="L69" s="206">
        <v>1</v>
      </c>
      <c r="M69" s="206">
        <f t="shared" si="71"/>
        <v>120</v>
      </c>
      <c r="N69" s="57">
        <v>13</v>
      </c>
      <c r="O69" s="57">
        <v>1</v>
      </c>
      <c r="P69" s="57">
        <v>4</v>
      </c>
      <c r="Q69" s="57">
        <f>N69+O69+P69</f>
        <v>18</v>
      </c>
      <c r="R69" s="59">
        <f t="shared" ref="R69:R121" si="74">IF(Q69&gt;0,Q69/G69,"")</f>
        <v>0.6</v>
      </c>
      <c r="S69" s="55" t="str">
        <f t="shared" si="62"/>
        <v>Nivel del indicador que satisface y supera las expectativas</v>
      </c>
      <c r="T69" s="163">
        <v>11</v>
      </c>
      <c r="U69" s="163">
        <v>32</v>
      </c>
      <c r="V69" s="163">
        <v>4</v>
      </c>
      <c r="W69" s="56">
        <f t="shared" si="72"/>
        <v>65</v>
      </c>
      <c r="X69" s="59">
        <v>1</v>
      </c>
      <c r="Y69" s="55" t="str">
        <f>IF(AND(E69&gt;0,W69=0),"¡¡Ojo No se Ejecutaron Actividades!!",IF(X69="","",IF(X69&lt;15.99%,"Se ha avanzado muy poco o nada en este indicador",IF(X69&lt;=36.99%,"Nivel Aceptable del Indicador",IF(X69&lt;=49.99%,"Nivel del indicador que cumple las expectativas","Nivel del indicador que satisface y supera las expectativas")))))</f>
        <v>Nivel del indicador que satisface y supera las expectativas</v>
      </c>
      <c r="Z69" s="57"/>
      <c r="AA69" s="57"/>
      <c r="AB69" s="57">
        <v>107</v>
      </c>
      <c r="AC69" s="56">
        <f>Z69+AA69+AB69</f>
        <v>107</v>
      </c>
      <c r="AD69" s="59">
        <v>1</v>
      </c>
      <c r="AE69" s="55" t="str">
        <f>IF(AND(E69&gt;0,AC69=0),"¡¡Ojo No se Ejecutaron Actividades!!",IF(AD69="","",IF(AD69&lt;24.99%,"Se ha avanzado muy poco o nada en este indicador",IF(AD69&lt;=55.99%,"Nivel Aceptable del Indicador",IF(AD69&lt;=74.99%,"Nivel del indicador que cumple las expectativas","Nivel del indicador que satisface y supera las expectativas")))))</f>
        <v>Nivel del indicador que satisface y supera las expectativas</v>
      </c>
      <c r="AF69" s="57"/>
      <c r="AG69" s="57"/>
      <c r="AH69" s="57"/>
      <c r="AI69" s="56">
        <f t="shared" si="73"/>
        <v>107</v>
      </c>
      <c r="AJ69" s="59">
        <f>IFERROR((IF(AI69&gt;0,AI69/E69,"")),0)</f>
        <v>0.89166666666666672</v>
      </c>
      <c r="AK69" s="55" t="str">
        <f>IF(AND(E69&gt;0,AI69=0),"¡¡Ojo No se Ejecutaron Actividades!!",IF(AJ69="","",IF(AJ69&lt;33.99%,"Se ha avanzado muy poco o nada en este indicador",IF(AJ69&lt;=75.99%,"Nivel Aceptable del Indicador",IF(AJ69&lt;=98.99%,"Nivel del indicador que cumple las expectativas","Nivel del indicador que satisface y supera las expectativas")))))</f>
        <v>Nivel del indicador que cumple las expectativas</v>
      </c>
      <c r="AP69" s="52">
        <f>E69</f>
        <v>120</v>
      </c>
      <c r="AQ69" s="52">
        <f>AP69/4</f>
        <v>30</v>
      </c>
      <c r="AR69" s="52">
        <f>Q69</f>
        <v>18</v>
      </c>
      <c r="AS69" s="79">
        <f>IFERROR((AR69/AQ69),0)</f>
        <v>0.6</v>
      </c>
      <c r="AT69" s="79">
        <f>IFERROR((((AR69*25)/AQ69)/100),0)</f>
        <v>0.15</v>
      </c>
      <c r="AU69" s="52">
        <f>AP69/2</f>
        <v>60</v>
      </c>
      <c r="AV69" s="77">
        <f>W69+AT69</f>
        <v>65.150000000000006</v>
      </c>
      <c r="AW69" s="79">
        <f>IFERROR((AV69/AU69),0)</f>
        <v>1.0858333333333334</v>
      </c>
      <c r="AX69" s="79">
        <f>IFERROR((((AV69*50)/AU69)/100),0)</f>
        <v>0.54291666666666671</v>
      </c>
      <c r="AY69" s="52">
        <f>AQ69+AU69</f>
        <v>90</v>
      </c>
      <c r="AZ69" s="77">
        <f>AC69+AV69</f>
        <v>172.15</v>
      </c>
      <c r="BA69" s="79">
        <f>IFERROR((AZ69/AY69),0)</f>
        <v>1.9127777777777779</v>
      </c>
      <c r="BB69" s="79">
        <f>IFERROR((((AZ69*75)/AY69)/100),0)</f>
        <v>1.4345833333333333</v>
      </c>
      <c r="BC69" s="52">
        <f>AY69+AQ69</f>
        <v>120</v>
      </c>
      <c r="BD69" s="77">
        <f>AI69+AZ69</f>
        <v>279.14999999999998</v>
      </c>
      <c r="BE69" s="79">
        <f>IFERROR((BD69/BC69),0)</f>
        <v>2.3262499999999999</v>
      </c>
      <c r="BF69" s="79">
        <f>IFERROR((((BD69*100)/BC69)/100),0)</f>
        <v>2.3262499999999999</v>
      </c>
      <c r="BG69" s="52"/>
      <c r="BH69" s="52"/>
    </row>
    <row r="70" spans="1:60" ht="75" x14ac:dyDescent="0.25">
      <c r="A70" s="293"/>
      <c r="B70" s="57" t="s">
        <v>377</v>
      </c>
      <c r="C70" s="54" t="s">
        <v>378</v>
      </c>
      <c r="D70" s="96" t="s">
        <v>620</v>
      </c>
      <c r="E70" s="96">
        <v>2</v>
      </c>
      <c r="F70" s="206">
        <v>0.25</v>
      </c>
      <c r="G70" s="206">
        <f t="shared" si="68"/>
        <v>0.5</v>
      </c>
      <c r="H70" s="206">
        <v>2</v>
      </c>
      <c r="I70" s="206">
        <f t="shared" si="69"/>
        <v>1</v>
      </c>
      <c r="J70" s="206">
        <v>0.75</v>
      </c>
      <c r="K70" s="206">
        <f t="shared" si="70"/>
        <v>1.5</v>
      </c>
      <c r="L70" s="206">
        <v>1</v>
      </c>
      <c r="M70" s="206">
        <f t="shared" si="71"/>
        <v>2</v>
      </c>
      <c r="N70" s="57">
        <v>0</v>
      </c>
      <c r="O70" s="57">
        <v>0</v>
      </c>
      <c r="P70" s="57">
        <v>2</v>
      </c>
      <c r="Q70" s="57">
        <f t="shared" ref="Q70:Q87" si="75">N70+O70+P70</f>
        <v>2</v>
      </c>
      <c r="R70" s="59">
        <v>1</v>
      </c>
      <c r="S70" s="55" t="str">
        <f t="shared" si="62"/>
        <v>Nivel del indicador que satisface y supera las expectativas</v>
      </c>
      <c r="T70" s="163">
        <v>0</v>
      </c>
      <c r="U70" s="163">
        <v>0</v>
      </c>
      <c r="V70" s="163">
        <v>2</v>
      </c>
      <c r="W70" s="56">
        <f t="shared" si="72"/>
        <v>4</v>
      </c>
      <c r="X70" s="59">
        <v>1</v>
      </c>
      <c r="Y70" s="55" t="str">
        <f t="shared" ref="Y70:Y87" si="76">IF(AND(E70&gt;0,W70=0),"¡¡Ojo No se Ejecutaron Actividades!!",IF(X70="","",IF(X70&lt;15.99%,"Se ha avanzado muy poco o nada en este indicador",IF(X70&lt;=36.99%,"Nivel Aceptable del Indicador",IF(X70&lt;=49.99%,"Nivel del indicador que cumple las expectativas","Nivel del indicador que satisface y supera las expectativas")))))</f>
        <v>Nivel del indicador que satisface y supera las expectativas</v>
      </c>
      <c r="Z70" s="57"/>
      <c r="AA70" s="57"/>
      <c r="AB70" s="57">
        <v>2</v>
      </c>
      <c r="AC70" s="56">
        <f t="shared" ref="AC70:AC86" si="77">Z70+AA70+AB70</f>
        <v>2</v>
      </c>
      <c r="AD70" s="59">
        <v>1</v>
      </c>
      <c r="AE70" s="55" t="str">
        <f t="shared" ref="AE70:AE87" si="78">IF(AND(E70&gt;0,AC70=0),"¡¡Ojo No se Ejecutaron Actividades!!",IF(AD70="","",IF(AD70&lt;24.99%,"Se ha avanzado muy poco o nada en este indicador",IF(AD70&lt;=55.99%,"Nivel Aceptable del Indicador",IF(AD70&lt;=74.99%,"Nivel del indicador que cumple las expectativas","Nivel del indicador que satisface y supera las expectativas")))))</f>
        <v>Nivel del indicador que satisface y supera las expectativas</v>
      </c>
      <c r="AF70" s="57"/>
      <c r="AG70" s="57"/>
      <c r="AH70" s="57"/>
      <c r="AI70" s="56">
        <f t="shared" si="73"/>
        <v>2</v>
      </c>
      <c r="AJ70" s="59">
        <f t="shared" ref="AJ70:AJ87" si="79">IFERROR((IF(AI70&gt;0,AI70/E70,"")),0)</f>
        <v>1</v>
      </c>
      <c r="AK70" s="55" t="str">
        <f t="shared" ref="AK70:AK87" si="80">IF(AND(E70&gt;0,AI70=0),"¡¡Ojo No se Ejecutaron Actividades!!",IF(AJ70="","",IF(AJ70&lt;33.99%,"Se ha avanzado muy poco o nada en este indicador",IF(AJ70&lt;=75.99%,"Nivel Aceptable del Indicador",IF(AJ70&lt;=98.99%,"Nivel del indicador que cumple las expectativas","Nivel del indicador que satisface y supera las expectativas")))))</f>
        <v>Nivel del indicador que satisface y supera las expectativas</v>
      </c>
      <c r="AP70" s="52">
        <f t="shared" ref="AP70:AP87" si="81">E70</f>
        <v>2</v>
      </c>
      <c r="AQ70" s="52">
        <f t="shared" ref="AQ70:AQ87" si="82">AP70/4</f>
        <v>0.5</v>
      </c>
      <c r="AR70" s="52">
        <f t="shared" ref="AR70:AR87" si="83">Q70</f>
        <v>2</v>
      </c>
      <c r="AS70" s="79">
        <f t="shared" ref="AS70:AS87" si="84">IFERROR((AR70/AQ70),0)</f>
        <v>4</v>
      </c>
      <c r="AT70" s="79">
        <f t="shared" ref="AT70:AT87" si="85">IFERROR((((AR70*25)/AQ70)/100),0)</f>
        <v>1</v>
      </c>
      <c r="AU70" s="52">
        <f t="shared" ref="AU70:AU87" si="86">AP70/2</f>
        <v>1</v>
      </c>
      <c r="AV70" s="77">
        <f t="shared" ref="AV70:AV87" si="87">W70+AT70</f>
        <v>5</v>
      </c>
      <c r="AW70" s="79">
        <f t="shared" ref="AW70:AW87" si="88">IFERROR((AV70/AU70),0)</f>
        <v>5</v>
      </c>
      <c r="AX70" s="79">
        <f t="shared" ref="AX70:AX87" si="89">IFERROR((((AV70*50)/AU70)/100),0)</f>
        <v>2.5</v>
      </c>
      <c r="AY70" s="52">
        <f t="shared" ref="AY70:AY87" si="90">AQ70+AU70</f>
        <v>1.5</v>
      </c>
      <c r="AZ70" s="77">
        <f t="shared" ref="AZ70:AZ87" si="91">AC70+AV70</f>
        <v>7</v>
      </c>
      <c r="BA70" s="79">
        <f t="shared" ref="BA70:BA87" si="92">IFERROR((AZ70/AY70),0)</f>
        <v>4.666666666666667</v>
      </c>
      <c r="BB70" s="79">
        <f t="shared" ref="BB70:BB87" si="93">IFERROR((((AZ70*75)/AY70)/100),0)</f>
        <v>3.5</v>
      </c>
      <c r="BC70" s="52">
        <f t="shared" ref="BC70:BC87" si="94">AY70+AQ70</f>
        <v>2</v>
      </c>
      <c r="BD70" s="77">
        <f t="shared" ref="BD70:BD87" si="95">AI70+AZ70</f>
        <v>9</v>
      </c>
      <c r="BE70" s="79">
        <f t="shared" ref="BE70:BE87" si="96">IFERROR((BD70/BC70),0)</f>
        <v>4.5</v>
      </c>
      <c r="BF70" s="79">
        <f t="shared" ref="BF70:BF87" si="97">IFERROR((((BD70*100)/BC70)/100),0)</f>
        <v>4.5</v>
      </c>
    </row>
    <row r="71" spans="1:60" ht="37.5" customHeight="1" x14ac:dyDescent="0.25">
      <c r="A71" s="294"/>
      <c r="B71" s="57" t="s">
        <v>379</v>
      </c>
      <c r="C71" s="54" t="s">
        <v>380</v>
      </c>
      <c r="D71" s="96" t="s">
        <v>620</v>
      </c>
      <c r="E71" s="96">
        <v>1</v>
      </c>
      <c r="F71" s="206">
        <v>0.25</v>
      </c>
      <c r="G71" s="206">
        <f t="shared" si="68"/>
        <v>0.25</v>
      </c>
      <c r="H71" s="206">
        <v>2</v>
      </c>
      <c r="I71" s="206">
        <f t="shared" si="69"/>
        <v>0.5</v>
      </c>
      <c r="J71" s="206">
        <v>0.75</v>
      </c>
      <c r="K71" s="206">
        <f t="shared" si="70"/>
        <v>0.75</v>
      </c>
      <c r="L71" s="206">
        <v>1</v>
      </c>
      <c r="M71" s="206">
        <f t="shared" si="71"/>
        <v>1</v>
      </c>
      <c r="N71" s="57">
        <v>0</v>
      </c>
      <c r="O71" s="57">
        <v>0</v>
      </c>
      <c r="P71" s="57">
        <v>1</v>
      </c>
      <c r="Q71" s="57">
        <f t="shared" si="75"/>
        <v>1</v>
      </c>
      <c r="R71" s="59">
        <v>1</v>
      </c>
      <c r="S71" s="55" t="str">
        <f t="shared" si="62"/>
        <v>Nivel del indicador que satisface y supera las expectativas</v>
      </c>
      <c r="T71" s="163">
        <v>0</v>
      </c>
      <c r="U71" s="163">
        <v>0</v>
      </c>
      <c r="V71" s="163">
        <v>1</v>
      </c>
      <c r="W71" s="56">
        <f t="shared" si="72"/>
        <v>2</v>
      </c>
      <c r="X71" s="59">
        <v>1</v>
      </c>
      <c r="Y71" s="55" t="str">
        <f t="shared" si="76"/>
        <v>Nivel del indicador que satisface y supera las expectativas</v>
      </c>
      <c r="Z71" s="57"/>
      <c r="AA71" s="57"/>
      <c r="AB71" s="57">
        <v>1</v>
      </c>
      <c r="AC71" s="56">
        <f t="shared" si="77"/>
        <v>1</v>
      </c>
      <c r="AD71" s="59">
        <v>1</v>
      </c>
      <c r="AE71" s="55" t="str">
        <f t="shared" si="78"/>
        <v>Nivel del indicador que satisface y supera las expectativas</v>
      </c>
      <c r="AF71" s="57"/>
      <c r="AG71" s="57"/>
      <c r="AH71" s="57"/>
      <c r="AI71" s="56">
        <f t="shared" si="73"/>
        <v>1</v>
      </c>
      <c r="AJ71" s="59">
        <f t="shared" si="79"/>
        <v>1</v>
      </c>
      <c r="AK71" s="55" t="str">
        <f t="shared" si="80"/>
        <v>Nivel del indicador que satisface y supera las expectativas</v>
      </c>
      <c r="AP71" s="52">
        <f t="shared" si="81"/>
        <v>1</v>
      </c>
      <c r="AQ71" s="52">
        <f t="shared" si="82"/>
        <v>0.25</v>
      </c>
      <c r="AR71" s="52">
        <f t="shared" si="83"/>
        <v>1</v>
      </c>
      <c r="AS71" s="79">
        <f t="shared" si="84"/>
        <v>4</v>
      </c>
      <c r="AT71" s="79">
        <f t="shared" si="85"/>
        <v>1</v>
      </c>
      <c r="AU71" s="52">
        <f t="shared" si="86"/>
        <v>0.5</v>
      </c>
      <c r="AV71" s="77">
        <f t="shared" si="87"/>
        <v>3</v>
      </c>
      <c r="AW71" s="79">
        <f t="shared" si="88"/>
        <v>6</v>
      </c>
      <c r="AX71" s="79">
        <f t="shared" si="89"/>
        <v>3</v>
      </c>
      <c r="AY71" s="52">
        <f t="shared" si="90"/>
        <v>0.75</v>
      </c>
      <c r="AZ71" s="77">
        <f t="shared" si="91"/>
        <v>4</v>
      </c>
      <c r="BA71" s="79">
        <f t="shared" si="92"/>
        <v>5.333333333333333</v>
      </c>
      <c r="BB71" s="79">
        <f t="shared" si="93"/>
        <v>4</v>
      </c>
      <c r="BC71" s="52">
        <f t="shared" si="94"/>
        <v>1</v>
      </c>
      <c r="BD71" s="77">
        <f t="shared" si="95"/>
        <v>5</v>
      </c>
      <c r="BE71" s="79">
        <f t="shared" si="96"/>
        <v>5</v>
      </c>
      <c r="BF71" s="79">
        <f t="shared" si="97"/>
        <v>5</v>
      </c>
    </row>
    <row r="72" spans="1:60" ht="24.75" customHeight="1" x14ac:dyDescent="0.25">
      <c r="A72" s="57" t="s">
        <v>381</v>
      </c>
      <c r="B72" s="57" t="s">
        <v>382</v>
      </c>
      <c r="C72" s="54" t="s">
        <v>383</v>
      </c>
      <c r="D72" s="96" t="s">
        <v>620</v>
      </c>
      <c r="E72" s="96">
        <v>1</v>
      </c>
      <c r="F72" s="206">
        <v>0.25</v>
      </c>
      <c r="G72" s="206">
        <f t="shared" si="68"/>
        <v>0.25</v>
      </c>
      <c r="H72" s="206">
        <v>2</v>
      </c>
      <c r="I72" s="206">
        <f t="shared" si="69"/>
        <v>0.5</v>
      </c>
      <c r="J72" s="206">
        <v>0.75</v>
      </c>
      <c r="K72" s="206">
        <f t="shared" si="70"/>
        <v>0.75</v>
      </c>
      <c r="L72" s="206">
        <v>1</v>
      </c>
      <c r="M72" s="206">
        <f t="shared" si="71"/>
        <v>1</v>
      </c>
      <c r="N72" s="57">
        <v>0</v>
      </c>
      <c r="O72" s="57">
        <v>0</v>
      </c>
      <c r="P72" s="57">
        <v>1</v>
      </c>
      <c r="Q72" s="57">
        <f t="shared" si="75"/>
        <v>1</v>
      </c>
      <c r="R72" s="59">
        <v>1</v>
      </c>
      <c r="S72" s="55" t="str">
        <f t="shared" si="62"/>
        <v>Nivel del indicador que satisface y supera las expectativas</v>
      </c>
      <c r="T72" s="163">
        <v>0</v>
      </c>
      <c r="U72" s="163">
        <v>0</v>
      </c>
      <c r="V72" s="163">
        <v>1</v>
      </c>
      <c r="W72" s="56">
        <f t="shared" si="72"/>
        <v>2</v>
      </c>
      <c r="X72" s="59">
        <v>1</v>
      </c>
      <c r="Y72" s="55" t="str">
        <f t="shared" si="76"/>
        <v>Nivel del indicador que satisface y supera las expectativas</v>
      </c>
      <c r="Z72" s="57"/>
      <c r="AA72" s="57"/>
      <c r="AB72" s="57">
        <v>1</v>
      </c>
      <c r="AC72" s="56">
        <f t="shared" si="77"/>
        <v>1</v>
      </c>
      <c r="AD72" s="59">
        <v>1</v>
      </c>
      <c r="AE72" s="55" t="str">
        <f t="shared" si="78"/>
        <v>Nivel del indicador que satisface y supera las expectativas</v>
      </c>
      <c r="AF72" s="57"/>
      <c r="AG72" s="57"/>
      <c r="AH72" s="57"/>
      <c r="AI72" s="56">
        <f t="shared" si="73"/>
        <v>1</v>
      </c>
      <c r="AJ72" s="59">
        <f t="shared" si="79"/>
        <v>1</v>
      </c>
      <c r="AK72" s="55" t="str">
        <f t="shared" si="80"/>
        <v>Nivel del indicador que satisface y supera las expectativas</v>
      </c>
      <c r="AP72" s="52">
        <f t="shared" si="81"/>
        <v>1</v>
      </c>
      <c r="AQ72" s="52">
        <f t="shared" si="82"/>
        <v>0.25</v>
      </c>
      <c r="AR72" s="52">
        <f t="shared" si="83"/>
        <v>1</v>
      </c>
      <c r="AS72" s="79">
        <f t="shared" si="84"/>
        <v>4</v>
      </c>
      <c r="AT72" s="79">
        <f t="shared" si="85"/>
        <v>1</v>
      </c>
      <c r="AU72" s="52">
        <f t="shared" si="86"/>
        <v>0.5</v>
      </c>
      <c r="AV72" s="77">
        <f t="shared" si="87"/>
        <v>3</v>
      </c>
      <c r="AW72" s="79">
        <f t="shared" si="88"/>
        <v>6</v>
      </c>
      <c r="AX72" s="79">
        <f t="shared" si="89"/>
        <v>3</v>
      </c>
      <c r="AY72" s="52">
        <f t="shared" si="90"/>
        <v>0.75</v>
      </c>
      <c r="AZ72" s="77">
        <f t="shared" si="91"/>
        <v>4</v>
      </c>
      <c r="BA72" s="79">
        <f t="shared" si="92"/>
        <v>5.333333333333333</v>
      </c>
      <c r="BB72" s="79">
        <f t="shared" si="93"/>
        <v>4</v>
      </c>
      <c r="BC72" s="52">
        <f t="shared" si="94"/>
        <v>1</v>
      </c>
      <c r="BD72" s="77">
        <f t="shared" si="95"/>
        <v>5</v>
      </c>
      <c r="BE72" s="79">
        <f t="shared" si="96"/>
        <v>5</v>
      </c>
      <c r="BF72" s="79">
        <f t="shared" si="97"/>
        <v>5</v>
      </c>
    </row>
    <row r="73" spans="1:60" ht="30" x14ac:dyDescent="0.25">
      <c r="A73" s="292" t="s">
        <v>384</v>
      </c>
      <c r="B73" s="57" t="s">
        <v>325</v>
      </c>
      <c r="C73" s="54" t="s">
        <v>385</v>
      </c>
      <c r="D73" s="96" t="s">
        <v>620</v>
      </c>
      <c r="E73" s="96">
        <v>1</v>
      </c>
      <c r="F73" s="206">
        <v>0.25</v>
      </c>
      <c r="G73" s="206">
        <f t="shared" si="68"/>
        <v>0.25</v>
      </c>
      <c r="H73" s="206">
        <v>2</v>
      </c>
      <c r="I73" s="206">
        <f t="shared" si="69"/>
        <v>0.5</v>
      </c>
      <c r="J73" s="206">
        <v>0.75</v>
      </c>
      <c r="K73" s="206">
        <f t="shared" si="70"/>
        <v>0.75</v>
      </c>
      <c r="L73" s="206">
        <v>1</v>
      </c>
      <c r="M73" s="206">
        <f t="shared" si="71"/>
        <v>1</v>
      </c>
      <c r="N73" s="57">
        <v>0</v>
      </c>
      <c r="O73" s="57">
        <v>0</v>
      </c>
      <c r="P73" s="57">
        <v>1</v>
      </c>
      <c r="Q73" s="57">
        <f t="shared" si="75"/>
        <v>1</v>
      </c>
      <c r="R73" s="59">
        <v>1</v>
      </c>
      <c r="S73" s="55" t="str">
        <f t="shared" si="62"/>
        <v>Nivel del indicador que satisface y supera las expectativas</v>
      </c>
      <c r="T73" s="163">
        <v>0</v>
      </c>
      <c r="U73" s="163">
        <v>0</v>
      </c>
      <c r="V73" s="163">
        <v>1</v>
      </c>
      <c r="W73" s="56">
        <f t="shared" si="72"/>
        <v>2</v>
      </c>
      <c r="X73" s="59">
        <v>1</v>
      </c>
      <c r="Y73" s="55" t="str">
        <f t="shared" si="76"/>
        <v>Nivel del indicador que satisface y supera las expectativas</v>
      </c>
      <c r="Z73" s="57"/>
      <c r="AA73" s="57"/>
      <c r="AB73" s="57">
        <v>3</v>
      </c>
      <c r="AC73" s="56">
        <f t="shared" si="77"/>
        <v>3</v>
      </c>
      <c r="AD73" s="59">
        <v>1</v>
      </c>
      <c r="AE73" s="55" t="str">
        <f t="shared" si="78"/>
        <v>Nivel del indicador que satisface y supera las expectativas</v>
      </c>
      <c r="AF73" s="57"/>
      <c r="AG73" s="57"/>
      <c r="AH73" s="57"/>
      <c r="AI73" s="56">
        <f t="shared" si="73"/>
        <v>3</v>
      </c>
      <c r="AJ73" s="59">
        <f t="shared" si="79"/>
        <v>3</v>
      </c>
      <c r="AK73" s="55" t="str">
        <f t="shared" si="80"/>
        <v>Nivel del indicador que satisface y supera las expectativas</v>
      </c>
      <c r="AP73" s="52">
        <f t="shared" si="81"/>
        <v>1</v>
      </c>
      <c r="AQ73" s="52">
        <f t="shared" si="82"/>
        <v>0.25</v>
      </c>
      <c r="AR73" s="52">
        <f t="shared" si="83"/>
        <v>1</v>
      </c>
      <c r="AS73" s="79">
        <f t="shared" si="84"/>
        <v>4</v>
      </c>
      <c r="AT73" s="79">
        <f t="shared" si="85"/>
        <v>1</v>
      </c>
      <c r="AU73" s="52">
        <f t="shared" si="86"/>
        <v>0.5</v>
      </c>
      <c r="AV73" s="77">
        <f t="shared" si="87"/>
        <v>3</v>
      </c>
      <c r="AW73" s="79">
        <f t="shared" si="88"/>
        <v>6</v>
      </c>
      <c r="AX73" s="79">
        <f t="shared" si="89"/>
        <v>3</v>
      </c>
      <c r="AY73" s="52">
        <f t="shared" si="90"/>
        <v>0.75</v>
      </c>
      <c r="AZ73" s="77">
        <f t="shared" si="91"/>
        <v>6</v>
      </c>
      <c r="BA73" s="79">
        <f t="shared" si="92"/>
        <v>8</v>
      </c>
      <c r="BB73" s="79">
        <f t="shared" si="93"/>
        <v>6</v>
      </c>
      <c r="BC73" s="52">
        <f t="shared" si="94"/>
        <v>1</v>
      </c>
      <c r="BD73" s="77">
        <f t="shared" si="95"/>
        <v>9</v>
      </c>
      <c r="BE73" s="79">
        <f t="shared" si="96"/>
        <v>9</v>
      </c>
      <c r="BF73" s="79">
        <f t="shared" si="97"/>
        <v>9</v>
      </c>
    </row>
    <row r="74" spans="1:60" ht="25.5" customHeight="1" x14ac:dyDescent="0.25">
      <c r="A74" s="293"/>
      <c r="B74" s="57" t="s">
        <v>327</v>
      </c>
      <c r="C74" s="54" t="s">
        <v>386</v>
      </c>
      <c r="D74" s="96" t="s">
        <v>620</v>
      </c>
      <c r="E74" s="96">
        <v>18</v>
      </c>
      <c r="F74" s="206">
        <v>0.25</v>
      </c>
      <c r="G74" s="206">
        <f t="shared" si="68"/>
        <v>4.5</v>
      </c>
      <c r="H74" s="206">
        <v>2</v>
      </c>
      <c r="I74" s="206">
        <f t="shared" si="69"/>
        <v>9</v>
      </c>
      <c r="J74" s="206">
        <v>0.75</v>
      </c>
      <c r="K74" s="206">
        <f t="shared" si="70"/>
        <v>13.5</v>
      </c>
      <c r="L74" s="206">
        <v>1</v>
      </c>
      <c r="M74" s="206">
        <f t="shared" si="71"/>
        <v>18</v>
      </c>
      <c r="N74" s="57">
        <v>0</v>
      </c>
      <c r="O74" s="57">
        <v>0</v>
      </c>
      <c r="P74" s="57">
        <v>2</v>
      </c>
      <c r="Q74" s="57">
        <f t="shared" si="75"/>
        <v>2</v>
      </c>
      <c r="R74" s="59">
        <f t="shared" si="74"/>
        <v>0.44444444444444442</v>
      </c>
      <c r="S74" s="55" t="str">
        <f t="shared" si="62"/>
        <v>Nivel del indicador que satisface y supera las expectativas</v>
      </c>
      <c r="T74" s="163">
        <v>0</v>
      </c>
      <c r="U74" s="163">
        <v>0</v>
      </c>
      <c r="V74" s="163">
        <v>13</v>
      </c>
      <c r="W74" s="56">
        <f t="shared" si="72"/>
        <v>15</v>
      </c>
      <c r="X74" s="59">
        <v>1</v>
      </c>
      <c r="Y74" s="55" t="str">
        <f t="shared" si="76"/>
        <v>Nivel del indicador que satisface y supera las expectativas</v>
      </c>
      <c r="Z74" s="57"/>
      <c r="AA74" s="57"/>
      <c r="AB74" s="57">
        <v>4</v>
      </c>
      <c r="AC74" s="56">
        <f t="shared" si="77"/>
        <v>4</v>
      </c>
      <c r="AD74" s="59">
        <f t="shared" ref="AD74:AD103" si="98">IFERROR((IF(AC74&gt;0,AC74/K74,"")),0)</f>
        <v>0.29629629629629628</v>
      </c>
      <c r="AE74" s="55" t="str">
        <f t="shared" si="78"/>
        <v>Nivel Aceptable del Indicador</v>
      </c>
      <c r="AF74" s="57"/>
      <c r="AG74" s="57"/>
      <c r="AH74" s="57"/>
      <c r="AI74" s="238">
        <f t="shared" si="73"/>
        <v>4</v>
      </c>
      <c r="AJ74" s="59">
        <f t="shared" si="79"/>
        <v>0.22222222222222221</v>
      </c>
      <c r="AK74" s="55" t="str">
        <f t="shared" si="80"/>
        <v>Se ha avanzado muy poco o nada en este indicador</v>
      </c>
      <c r="AP74" s="52">
        <f t="shared" si="81"/>
        <v>18</v>
      </c>
      <c r="AQ74" s="52">
        <f t="shared" si="82"/>
        <v>4.5</v>
      </c>
      <c r="AR74" s="52">
        <f t="shared" si="83"/>
        <v>2</v>
      </c>
      <c r="AS74" s="79">
        <f t="shared" si="84"/>
        <v>0.44444444444444442</v>
      </c>
      <c r="AT74" s="79">
        <f t="shared" si="85"/>
        <v>0.1111111111111111</v>
      </c>
      <c r="AU74" s="52">
        <f t="shared" si="86"/>
        <v>9</v>
      </c>
      <c r="AV74" s="77">
        <f t="shared" si="87"/>
        <v>15.111111111111111</v>
      </c>
      <c r="AW74" s="79">
        <f t="shared" si="88"/>
        <v>1.6790123456790123</v>
      </c>
      <c r="AX74" s="79">
        <f t="shared" si="89"/>
        <v>0.83950617283950624</v>
      </c>
      <c r="AY74" s="52">
        <f t="shared" si="90"/>
        <v>13.5</v>
      </c>
      <c r="AZ74" s="77">
        <f t="shared" si="91"/>
        <v>19.111111111111111</v>
      </c>
      <c r="BA74" s="79">
        <f t="shared" si="92"/>
        <v>1.4156378600823045</v>
      </c>
      <c r="BB74" s="79">
        <f t="shared" si="93"/>
        <v>1.0617283950617284</v>
      </c>
      <c r="BC74" s="52">
        <f t="shared" si="94"/>
        <v>18</v>
      </c>
      <c r="BD74" s="77">
        <f t="shared" si="95"/>
        <v>23.111111111111111</v>
      </c>
      <c r="BE74" s="79">
        <f t="shared" si="96"/>
        <v>1.2839506172839505</v>
      </c>
      <c r="BF74" s="79">
        <f t="shared" si="97"/>
        <v>1.2839506172839503</v>
      </c>
    </row>
    <row r="75" spans="1:60" ht="28.5" customHeight="1" x14ac:dyDescent="0.25">
      <c r="A75" s="293"/>
      <c r="B75" s="57" t="s">
        <v>329</v>
      </c>
      <c r="C75" s="54" t="s">
        <v>387</v>
      </c>
      <c r="D75" s="96" t="s">
        <v>620</v>
      </c>
      <c r="E75" s="96">
        <v>11</v>
      </c>
      <c r="F75" s="206">
        <v>0.25</v>
      </c>
      <c r="G75" s="206">
        <f t="shared" si="68"/>
        <v>2.75</v>
      </c>
      <c r="H75" s="206">
        <v>2</v>
      </c>
      <c r="I75" s="206">
        <f t="shared" si="69"/>
        <v>5.5</v>
      </c>
      <c r="J75" s="206">
        <v>0.75</v>
      </c>
      <c r="K75" s="206">
        <f t="shared" si="70"/>
        <v>8.25</v>
      </c>
      <c r="L75" s="206">
        <v>1</v>
      </c>
      <c r="M75" s="206">
        <f t="shared" si="71"/>
        <v>11</v>
      </c>
      <c r="N75" s="57">
        <v>0</v>
      </c>
      <c r="O75" s="57">
        <v>0</v>
      </c>
      <c r="P75" s="57">
        <v>13</v>
      </c>
      <c r="Q75" s="57">
        <f t="shared" si="75"/>
        <v>13</v>
      </c>
      <c r="R75" s="59">
        <v>1</v>
      </c>
      <c r="S75" s="55" t="str">
        <f t="shared" si="62"/>
        <v>Nivel del indicador que satisface y supera las expectativas</v>
      </c>
      <c r="T75" s="163">
        <v>0</v>
      </c>
      <c r="U75" s="163">
        <v>0</v>
      </c>
      <c r="V75" s="163">
        <v>0</v>
      </c>
      <c r="W75" s="56">
        <f t="shared" si="72"/>
        <v>13</v>
      </c>
      <c r="X75" s="59">
        <v>1</v>
      </c>
      <c r="Y75" s="55" t="str">
        <f t="shared" si="76"/>
        <v>Nivel del indicador que satisface y supera las expectativas</v>
      </c>
      <c r="Z75" s="57"/>
      <c r="AA75" s="57"/>
      <c r="AB75" s="57">
        <v>18</v>
      </c>
      <c r="AC75" s="56">
        <f t="shared" si="77"/>
        <v>18</v>
      </c>
      <c r="AD75" s="59">
        <v>1</v>
      </c>
      <c r="AE75" s="55" t="str">
        <f t="shared" si="78"/>
        <v>Nivel del indicador que satisface y supera las expectativas</v>
      </c>
      <c r="AF75" s="57"/>
      <c r="AG75" s="57"/>
      <c r="AH75" s="57"/>
      <c r="AI75" s="56">
        <f t="shared" si="73"/>
        <v>18</v>
      </c>
      <c r="AJ75" s="59">
        <f t="shared" si="79"/>
        <v>1.6363636363636365</v>
      </c>
      <c r="AK75" s="55" t="str">
        <f t="shared" si="80"/>
        <v>Nivel del indicador que satisface y supera las expectativas</v>
      </c>
      <c r="AP75" s="52">
        <f t="shared" si="81"/>
        <v>11</v>
      </c>
      <c r="AQ75" s="52">
        <f t="shared" si="82"/>
        <v>2.75</v>
      </c>
      <c r="AR75" s="52">
        <f t="shared" si="83"/>
        <v>13</v>
      </c>
      <c r="AS75" s="79">
        <f t="shared" si="84"/>
        <v>4.7272727272727275</v>
      </c>
      <c r="AT75" s="79">
        <f t="shared" si="85"/>
        <v>1.1818181818181819</v>
      </c>
      <c r="AU75" s="52">
        <f t="shared" si="86"/>
        <v>5.5</v>
      </c>
      <c r="AV75" s="77">
        <f t="shared" si="87"/>
        <v>14.181818181818182</v>
      </c>
      <c r="AW75" s="79">
        <f t="shared" si="88"/>
        <v>2.5785123966942147</v>
      </c>
      <c r="AX75" s="79">
        <f t="shared" si="89"/>
        <v>1.2892561983471074</v>
      </c>
      <c r="AY75" s="52">
        <f t="shared" si="90"/>
        <v>8.25</v>
      </c>
      <c r="AZ75" s="77">
        <f t="shared" si="91"/>
        <v>32.18181818181818</v>
      </c>
      <c r="BA75" s="79">
        <f t="shared" si="92"/>
        <v>3.9008264462809916</v>
      </c>
      <c r="BB75" s="79">
        <f t="shared" si="93"/>
        <v>2.9256198347107438</v>
      </c>
      <c r="BC75" s="52">
        <f t="shared" si="94"/>
        <v>11</v>
      </c>
      <c r="BD75" s="77">
        <f t="shared" si="95"/>
        <v>50.18181818181818</v>
      </c>
      <c r="BE75" s="79">
        <f t="shared" si="96"/>
        <v>4.5619834710743801</v>
      </c>
      <c r="BF75" s="79">
        <f t="shared" si="97"/>
        <v>4.5619834710743801</v>
      </c>
    </row>
    <row r="76" spans="1:60" ht="30" x14ac:dyDescent="0.25">
      <c r="A76" s="293"/>
      <c r="B76" s="57" t="s">
        <v>331</v>
      </c>
      <c r="C76" s="54" t="s">
        <v>388</v>
      </c>
      <c r="D76" s="96" t="s">
        <v>620</v>
      </c>
      <c r="E76" s="96">
        <v>40</v>
      </c>
      <c r="F76" s="206">
        <v>0.25</v>
      </c>
      <c r="G76" s="206">
        <f t="shared" si="68"/>
        <v>10</v>
      </c>
      <c r="H76" s="206">
        <v>2</v>
      </c>
      <c r="I76" s="206">
        <f t="shared" si="69"/>
        <v>20</v>
      </c>
      <c r="J76" s="206">
        <v>0.75</v>
      </c>
      <c r="K76" s="206">
        <f t="shared" si="70"/>
        <v>30</v>
      </c>
      <c r="L76" s="206">
        <v>1</v>
      </c>
      <c r="M76" s="206">
        <f t="shared" si="71"/>
        <v>40</v>
      </c>
      <c r="N76" s="57">
        <v>0</v>
      </c>
      <c r="O76" s="57">
        <v>0</v>
      </c>
      <c r="P76" s="57">
        <v>46</v>
      </c>
      <c r="Q76" s="57">
        <f t="shared" si="75"/>
        <v>46</v>
      </c>
      <c r="R76" s="59">
        <v>1</v>
      </c>
      <c r="S76" s="55" t="str">
        <f t="shared" si="62"/>
        <v>Nivel del indicador que satisface y supera las expectativas</v>
      </c>
      <c r="T76" s="163">
        <v>40</v>
      </c>
      <c r="U76" s="163">
        <v>11</v>
      </c>
      <c r="V76" s="163">
        <v>5</v>
      </c>
      <c r="W76" s="56">
        <f t="shared" si="72"/>
        <v>102</v>
      </c>
      <c r="X76" s="59">
        <v>1</v>
      </c>
      <c r="Y76" s="55" t="str">
        <f t="shared" si="76"/>
        <v>Nivel del indicador que satisface y supera las expectativas</v>
      </c>
      <c r="Z76" s="57"/>
      <c r="AA76" s="57"/>
      <c r="AB76" s="57">
        <v>76</v>
      </c>
      <c r="AC76" s="56">
        <f t="shared" si="77"/>
        <v>76</v>
      </c>
      <c r="AD76" s="59">
        <v>1</v>
      </c>
      <c r="AE76" s="55" t="str">
        <f t="shared" si="78"/>
        <v>Nivel del indicador que satisface y supera las expectativas</v>
      </c>
      <c r="AF76" s="57"/>
      <c r="AG76" s="57"/>
      <c r="AH76" s="57"/>
      <c r="AI76" s="56">
        <f t="shared" si="73"/>
        <v>76</v>
      </c>
      <c r="AJ76" s="59">
        <f t="shared" si="79"/>
        <v>1.9</v>
      </c>
      <c r="AK76" s="55" t="str">
        <f t="shared" si="80"/>
        <v>Nivel del indicador que satisface y supera las expectativas</v>
      </c>
      <c r="AP76" s="52">
        <f t="shared" si="81"/>
        <v>40</v>
      </c>
      <c r="AQ76" s="52">
        <f t="shared" si="82"/>
        <v>10</v>
      </c>
      <c r="AR76" s="52">
        <f t="shared" si="83"/>
        <v>46</v>
      </c>
      <c r="AS76" s="79">
        <f t="shared" si="84"/>
        <v>4.5999999999999996</v>
      </c>
      <c r="AT76" s="79">
        <f t="shared" si="85"/>
        <v>1.1499999999999999</v>
      </c>
      <c r="AU76" s="52">
        <f t="shared" si="86"/>
        <v>20</v>
      </c>
      <c r="AV76" s="77">
        <f t="shared" si="87"/>
        <v>103.15</v>
      </c>
      <c r="AW76" s="79">
        <f t="shared" si="88"/>
        <v>5.1575000000000006</v>
      </c>
      <c r="AX76" s="79">
        <f t="shared" si="89"/>
        <v>2.5787499999999999</v>
      </c>
      <c r="AY76" s="52">
        <f t="shared" si="90"/>
        <v>30</v>
      </c>
      <c r="AZ76" s="77">
        <f t="shared" si="91"/>
        <v>179.15</v>
      </c>
      <c r="BA76" s="79">
        <f t="shared" si="92"/>
        <v>5.9716666666666667</v>
      </c>
      <c r="BB76" s="79">
        <f t="shared" si="93"/>
        <v>4.4787499999999998</v>
      </c>
      <c r="BC76" s="52">
        <f t="shared" si="94"/>
        <v>40</v>
      </c>
      <c r="BD76" s="77">
        <f t="shared" si="95"/>
        <v>255.15</v>
      </c>
      <c r="BE76" s="79">
        <f t="shared" si="96"/>
        <v>6.3787500000000001</v>
      </c>
      <c r="BF76" s="79">
        <f t="shared" si="97"/>
        <v>6.3787500000000001</v>
      </c>
    </row>
    <row r="77" spans="1:60" ht="24.75" customHeight="1" x14ac:dyDescent="0.25">
      <c r="A77" s="293"/>
      <c r="B77" s="57" t="s">
        <v>389</v>
      </c>
      <c r="C77" s="54" t="s">
        <v>390</v>
      </c>
      <c r="D77" s="96" t="s">
        <v>621</v>
      </c>
      <c r="E77" s="96">
        <v>48</v>
      </c>
      <c r="F77" s="206">
        <v>0.25</v>
      </c>
      <c r="G77" s="206">
        <f t="shared" si="68"/>
        <v>12</v>
      </c>
      <c r="H77" s="206">
        <v>2</v>
      </c>
      <c r="I77" s="206">
        <f t="shared" si="69"/>
        <v>24</v>
      </c>
      <c r="J77" s="206">
        <v>0.75</v>
      </c>
      <c r="K77" s="206">
        <f t="shared" si="70"/>
        <v>36</v>
      </c>
      <c r="L77" s="206">
        <v>1</v>
      </c>
      <c r="M77" s="206">
        <f t="shared" si="71"/>
        <v>48</v>
      </c>
      <c r="N77" s="57">
        <v>0</v>
      </c>
      <c r="O77" s="57">
        <v>0</v>
      </c>
      <c r="P77" s="193">
        <v>1E-4</v>
      </c>
      <c r="Q77" s="57">
        <f t="shared" si="75"/>
        <v>1E-4</v>
      </c>
      <c r="R77" s="59">
        <f t="shared" si="74"/>
        <v>8.3333333333333337E-6</v>
      </c>
      <c r="S77" s="55" t="str">
        <f t="shared" si="62"/>
        <v>Se ha avanzado muy poco o nada en este indicador</v>
      </c>
      <c r="T77" s="163">
        <v>0</v>
      </c>
      <c r="U77" s="163">
        <v>0</v>
      </c>
      <c r="V77" s="163">
        <v>1</v>
      </c>
      <c r="W77" s="56">
        <f t="shared" si="72"/>
        <v>1.0001</v>
      </c>
      <c r="X77" s="59">
        <f t="shared" ref="X77:X121" si="99">IF(W77&gt;0,W77/I77,"")</f>
        <v>4.1670833333333331E-2</v>
      </c>
      <c r="Y77" s="55" t="str">
        <f t="shared" si="76"/>
        <v>Se ha avanzado muy poco o nada en este indicador</v>
      </c>
      <c r="Z77" s="57"/>
      <c r="AA77" s="57"/>
      <c r="AB77" s="57">
        <v>2</v>
      </c>
      <c r="AC77" s="56">
        <f t="shared" si="77"/>
        <v>2</v>
      </c>
      <c r="AD77" s="59">
        <f t="shared" si="98"/>
        <v>5.5555555555555552E-2</v>
      </c>
      <c r="AE77" s="55" t="str">
        <f t="shared" si="78"/>
        <v>Se ha avanzado muy poco o nada en este indicador</v>
      </c>
      <c r="AF77" s="57"/>
      <c r="AG77" s="57"/>
      <c r="AH77" s="57"/>
      <c r="AI77" s="238">
        <f t="shared" si="73"/>
        <v>2</v>
      </c>
      <c r="AJ77" s="59">
        <f t="shared" si="79"/>
        <v>4.1666666666666664E-2</v>
      </c>
      <c r="AK77" s="55" t="str">
        <f t="shared" si="80"/>
        <v>Se ha avanzado muy poco o nada en este indicador</v>
      </c>
      <c r="AP77" s="52">
        <f t="shared" si="81"/>
        <v>48</v>
      </c>
      <c r="AQ77" s="52">
        <f t="shared" si="82"/>
        <v>12</v>
      </c>
      <c r="AR77" s="52">
        <f t="shared" si="83"/>
        <v>1E-4</v>
      </c>
      <c r="AS77" s="79">
        <f t="shared" si="84"/>
        <v>8.3333333333333337E-6</v>
      </c>
      <c r="AT77" s="79">
        <f t="shared" si="85"/>
        <v>2.0833333333333334E-6</v>
      </c>
      <c r="AU77" s="52">
        <f t="shared" si="86"/>
        <v>24</v>
      </c>
      <c r="AV77" s="77">
        <f t="shared" si="87"/>
        <v>1.0001020833333334</v>
      </c>
      <c r="AW77" s="79">
        <f t="shared" si="88"/>
        <v>4.1670920138888894E-2</v>
      </c>
      <c r="AX77" s="79">
        <f t="shared" si="89"/>
        <v>2.0835460069444447E-2</v>
      </c>
      <c r="AY77" s="52">
        <f t="shared" si="90"/>
        <v>36</v>
      </c>
      <c r="AZ77" s="77">
        <f t="shared" si="91"/>
        <v>3.0001020833333332</v>
      </c>
      <c r="BA77" s="79">
        <f t="shared" si="92"/>
        <v>8.3336168981481482E-2</v>
      </c>
      <c r="BB77" s="79">
        <f t="shared" si="93"/>
        <v>6.2502126736111108E-2</v>
      </c>
      <c r="BC77" s="52">
        <f t="shared" si="94"/>
        <v>48</v>
      </c>
      <c r="BD77" s="77">
        <f t="shared" si="95"/>
        <v>5.0001020833333332</v>
      </c>
      <c r="BE77" s="79">
        <f t="shared" si="96"/>
        <v>0.10416879340277778</v>
      </c>
      <c r="BF77" s="79">
        <f t="shared" si="97"/>
        <v>0.10416879340277778</v>
      </c>
    </row>
    <row r="78" spans="1:60" ht="21.75" customHeight="1" x14ac:dyDescent="0.25">
      <c r="A78" s="293"/>
      <c r="B78" s="57" t="s">
        <v>391</v>
      </c>
      <c r="C78" s="54" t="s">
        <v>392</v>
      </c>
      <c r="D78" s="96" t="s">
        <v>574</v>
      </c>
      <c r="E78" s="96">
        <v>25</v>
      </c>
      <c r="F78" s="206">
        <v>0.25</v>
      </c>
      <c r="G78" s="206">
        <f t="shared" si="68"/>
        <v>6.25</v>
      </c>
      <c r="H78" s="206">
        <v>2</v>
      </c>
      <c r="I78" s="206">
        <f t="shared" si="69"/>
        <v>12.5</v>
      </c>
      <c r="J78" s="206">
        <v>0.75</v>
      </c>
      <c r="K78" s="206">
        <f t="shared" si="70"/>
        <v>18.75</v>
      </c>
      <c r="L78" s="206">
        <v>1</v>
      </c>
      <c r="M78" s="206">
        <f t="shared" si="71"/>
        <v>25</v>
      </c>
      <c r="N78" s="57">
        <v>1</v>
      </c>
      <c r="O78" s="57">
        <v>1</v>
      </c>
      <c r="P78" s="57">
        <v>1</v>
      </c>
      <c r="Q78" s="57">
        <f t="shared" si="75"/>
        <v>3</v>
      </c>
      <c r="R78" s="59">
        <f t="shared" si="74"/>
        <v>0.48</v>
      </c>
      <c r="S78" s="55" t="str">
        <f t="shared" si="62"/>
        <v>Nivel del indicador que satisface y supera las expectativas</v>
      </c>
      <c r="T78" s="163">
        <v>0</v>
      </c>
      <c r="U78" s="163">
        <v>0</v>
      </c>
      <c r="V78" s="163">
        <v>0</v>
      </c>
      <c r="W78" s="56">
        <f t="shared" si="72"/>
        <v>3</v>
      </c>
      <c r="X78" s="59">
        <f t="shared" si="99"/>
        <v>0.24</v>
      </c>
      <c r="Y78" s="55" t="str">
        <f t="shared" si="76"/>
        <v>Nivel Aceptable del Indicador</v>
      </c>
      <c r="Z78" s="57"/>
      <c r="AA78" s="57"/>
      <c r="AB78" s="57">
        <v>27</v>
      </c>
      <c r="AC78" s="56">
        <f t="shared" si="77"/>
        <v>27</v>
      </c>
      <c r="AD78" s="59">
        <v>1</v>
      </c>
      <c r="AE78" s="55" t="str">
        <f t="shared" si="78"/>
        <v>Nivel del indicador que satisface y supera las expectativas</v>
      </c>
      <c r="AF78" s="57"/>
      <c r="AG78" s="57"/>
      <c r="AH78" s="57"/>
      <c r="AI78" s="56">
        <f t="shared" si="73"/>
        <v>27</v>
      </c>
      <c r="AJ78" s="59">
        <f t="shared" si="79"/>
        <v>1.08</v>
      </c>
      <c r="AK78" s="55" t="str">
        <f t="shared" si="80"/>
        <v>Nivel del indicador que satisface y supera las expectativas</v>
      </c>
      <c r="AP78" s="52">
        <f t="shared" si="81"/>
        <v>25</v>
      </c>
      <c r="AQ78" s="52">
        <f t="shared" si="82"/>
        <v>6.25</v>
      </c>
      <c r="AR78" s="52">
        <f t="shared" si="83"/>
        <v>3</v>
      </c>
      <c r="AS78" s="79">
        <f t="shared" si="84"/>
        <v>0.48</v>
      </c>
      <c r="AT78" s="79">
        <f t="shared" si="85"/>
        <v>0.12</v>
      </c>
      <c r="AU78" s="52">
        <f t="shared" si="86"/>
        <v>12.5</v>
      </c>
      <c r="AV78" s="77">
        <f t="shared" si="87"/>
        <v>3.12</v>
      </c>
      <c r="AW78" s="79">
        <f t="shared" si="88"/>
        <v>0.24960000000000002</v>
      </c>
      <c r="AX78" s="79">
        <f t="shared" si="89"/>
        <v>0.12480000000000001</v>
      </c>
      <c r="AY78" s="52">
        <f t="shared" si="90"/>
        <v>18.75</v>
      </c>
      <c r="AZ78" s="77">
        <f t="shared" si="91"/>
        <v>30.12</v>
      </c>
      <c r="BA78" s="79">
        <f t="shared" si="92"/>
        <v>1.6064000000000001</v>
      </c>
      <c r="BB78" s="79">
        <f t="shared" si="93"/>
        <v>1.2048000000000001</v>
      </c>
      <c r="BC78" s="52">
        <f t="shared" si="94"/>
        <v>25</v>
      </c>
      <c r="BD78" s="77">
        <f t="shared" si="95"/>
        <v>57.120000000000005</v>
      </c>
      <c r="BE78" s="79">
        <f t="shared" si="96"/>
        <v>2.2848000000000002</v>
      </c>
      <c r="BF78" s="79">
        <f t="shared" si="97"/>
        <v>2.2847999999999997</v>
      </c>
    </row>
    <row r="79" spans="1:60" ht="60" x14ac:dyDescent="0.25">
      <c r="A79" s="294"/>
      <c r="B79" s="57" t="s">
        <v>393</v>
      </c>
      <c r="C79" s="54" t="s">
        <v>394</v>
      </c>
      <c r="D79" s="96" t="s">
        <v>620</v>
      </c>
      <c r="E79" s="96">
        <v>1</v>
      </c>
      <c r="F79" s="206">
        <v>0.25</v>
      </c>
      <c r="G79" s="206">
        <f t="shared" si="68"/>
        <v>0.25</v>
      </c>
      <c r="H79" s="206">
        <v>2</v>
      </c>
      <c r="I79" s="206">
        <f t="shared" si="69"/>
        <v>0.5</v>
      </c>
      <c r="J79" s="206">
        <v>0.75</v>
      </c>
      <c r="K79" s="206">
        <f t="shared" si="70"/>
        <v>0.75</v>
      </c>
      <c r="L79" s="206">
        <v>1</v>
      </c>
      <c r="M79" s="206">
        <f t="shared" si="71"/>
        <v>1</v>
      </c>
      <c r="N79" s="57">
        <v>0</v>
      </c>
      <c r="O79" s="57">
        <v>0</v>
      </c>
      <c r="P79" s="57">
        <v>1</v>
      </c>
      <c r="Q79" s="57">
        <f t="shared" si="75"/>
        <v>1</v>
      </c>
      <c r="R79" s="59">
        <v>1</v>
      </c>
      <c r="S79" s="55" t="str">
        <f t="shared" si="62"/>
        <v>Nivel del indicador que satisface y supera las expectativas</v>
      </c>
      <c r="T79" s="163">
        <v>0</v>
      </c>
      <c r="U79" s="163">
        <v>0</v>
      </c>
      <c r="V79" s="163">
        <v>1</v>
      </c>
      <c r="W79" s="56">
        <f t="shared" si="72"/>
        <v>2</v>
      </c>
      <c r="X79" s="59">
        <v>1</v>
      </c>
      <c r="Y79" s="55" t="str">
        <f t="shared" si="76"/>
        <v>Nivel del indicador que satisface y supera las expectativas</v>
      </c>
      <c r="Z79" s="57"/>
      <c r="AA79" s="57"/>
      <c r="AB79" s="57">
        <v>0.6</v>
      </c>
      <c r="AC79" s="56">
        <f t="shared" si="77"/>
        <v>0.6</v>
      </c>
      <c r="AD79" s="59">
        <f t="shared" si="98"/>
        <v>0.79999999999999993</v>
      </c>
      <c r="AE79" s="55" t="str">
        <f t="shared" si="78"/>
        <v>Nivel del indicador que satisface y supera las expectativas</v>
      </c>
      <c r="AF79" s="57"/>
      <c r="AG79" s="57"/>
      <c r="AH79" s="57"/>
      <c r="AI79" s="238">
        <f t="shared" si="73"/>
        <v>0.6</v>
      </c>
      <c r="AJ79" s="59">
        <f t="shared" si="79"/>
        <v>0.6</v>
      </c>
      <c r="AK79" s="55" t="str">
        <f t="shared" si="80"/>
        <v>Nivel Aceptable del Indicador</v>
      </c>
      <c r="AP79" s="52">
        <f t="shared" si="81"/>
        <v>1</v>
      </c>
      <c r="AQ79" s="52">
        <f t="shared" si="82"/>
        <v>0.25</v>
      </c>
      <c r="AR79" s="52">
        <f t="shared" si="83"/>
        <v>1</v>
      </c>
      <c r="AS79" s="79">
        <f t="shared" si="84"/>
        <v>4</v>
      </c>
      <c r="AT79" s="79">
        <f t="shared" si="85"/>
        <v>1</v>
      </c>
      <c r="AU79" s="52">
        <f t="shared" si="86"/>
        <v>0.5</v>
      </c>
      <c r="AV79" s="77">
        <f t="shared" si="87"/>
        <v>3</v>
      </c>
      <c r="AW79" s="79">
        <f t="shared" si="88"/>
        <v>6</v>
      </c>
      <c r="AX79" s="79">
        <f t="shared" si="89"/>
        <v>3</v>
      </c>
      <c r="AY79" s="52">
        <f t="shared" si="90"/>
        <v>0.75</v>
      </c>
      <c r="AZ79" s="77">
        <f t="shared" si="91"/>
        <v>3.6</v>
      </c>
      <c r="BA79" s="79">
        <f t="shared" si="92"/>
        <v>4.8</v>
      </c>
      <c r="BB79" s="79">
        <f t="shared" si="93"/>
        <v>3.6</v>
      </c>
      <c r="BC79" s="52">
        <f t="shared" si="94"/>
        <v>1</v>
      </c>
      <c r="BD79" s="77">
        <f t="shared" si="95"/>
        <v>4.2</v>
      </c>
      <c r="BE79" s="79">
        <f t="shared" si="96"/>
        <v>4.2</v>
      </c>
      <c r="BF79" s="79">
        <f t="shared" si="97"/>
        <v>4.2</v>
      </c>
    </row>
    <row r="80" spans="1:60" ht="34.5" customHeight="1" x14ac:dyDescent="0.25">
      <c r="A80" s="292" t="s">
        <v>395</v>
      </c>
      <c r="B80" s="57" t="s">
        <v>334</v>
      </c>
      <c r="C80" s="54" t="s">
        <v>396</v>
      </c>
      <c r="D80" s="96" t="s">
        <v>620</v>
      </c>
      <c r="E80" s="96">
        <v>3</v>
      </c>
      <c r="F80" s="206">
        <v>0.25</v>
      </c>
      <c r="G80" s="206">
        <f t="shared" si="68"/>
        <v>0.75</v>
      </c>
      <c r="H80" s="206">
        <v>2</v>
      </c>
      <c r="I80" s="206">
        <f t="shared" si="69"/>
        <v>1.5</v>
      </c>
      <c r="J80" s="206">
        <v>0.75</v>
      </c>
      <c r="K80" s="206">
        <f t="shared" si="70"/>
        <v>2.25</v>
      </c>
      <c r="L80" s="206">
        <v>1</v>
      </c>
      <c r="M80" s="206">
        <f t="shared" si="71"/>
        <v>3</v>
      </c>
      <c r="N80" s="57">
        <v>0</v>
      </c>
      <c r="O80" s="57">
        <v>0</v>
      </c>
      <c r="P80" s="57">
        <v>8</v>
      </c>
      <c r="Q80" s="57">
        <f t="shared" si="75"/>
        <v>8</v>
      </c>
      <c r="R80" s="59">
        <v>1</v>
      </c>
      <c r="S80" s="55" t="str">
        <f t="shared" si="62"/>
        <v>Nivel del indicador que satisface y supera las expectativas</v>
      </c>
      <c r="T80" s="163">
        <v>0</v>
      </c>
      <c r="U80" s="163">
        <v>0</v>
      </c>
      <c r="V80" s="163">
        <v>5</v>
      </c>
      <c r="W80" s="56">
        <f t="shared" si="72"/>
        <v>13</v>
      </c>
      <c r="X80" s="59">
        <v>1</v>
      </c>
      <c r="Y80" s="55" t="str">
        <f t="shared" si="76"/>
        <v>Nivel del indicador que satisface y supera las expectativas</v>
      </c>
      <c r="Z80" s="57"/>
      <c r="AA80" s="57"/>
      <c r="AB80" s="57">
        <v>5</v>
      </c>
      <c r="AC80" s="56">
        <f t="shared" si="77"/>
        <v>5</v>
      </c>
      <c r="AD80" s="59">
        <v>1</v>
      </c>
      <c r="AE80" s="55" t="str">
        <f t="shared" si="78"/>
        <v>Nivel del indicador que satisface y supera las expectativas</v>
      </c>
      <c r="AF80" s="57"/>
      <c r="AG80" s="57"/>
      <c r="AH80" s="57"/>
      <c r="AI80" s="56">
        <f t="shared" si="73"/>
        <v>5</v>
      </c>
      <c r="AJ80" s="59">
        <f t="shared" si="79"/>
        <v>1.6666666666666667</v>
      </c>
      <c r="AK80" s="55" t="str">
        <f t="shared" si="80"/>
        <v>Nivel del indicador que satisface y supera las expectativas</v>
      </c>
      <c r="AP80" s="52">
        <f t="shared" si="81"/>
        <v>3</v>
      </c>
      <c r="AQ80" s="52">
        <f t="shared" si="82"/>
        <v>0.75</v>
      </c>
      <c r="AR80" s="52">
        <f t="shared" si="83"/>
        <v>8</v>
      </c>
      <c r="AS80" s="79">
        <f t="shared" si="84"/>
        <v>10.666666666666666</v>
      </c>
      <c r="AT80" s="79">
        <f t="shared" si="85"/>
        <v>2.666666666666667</v>
      </c>
      <c r="AU80" s="52">
        <f t="shared" si="86"/>
        <v>1.5</v>
      </c>
      <c r="AV80" s="77">
        <f t="shared" si="87"/>
        <v>15.666666666666668</v>
      </c>
      <c r="AW80" s="79">
        <f t="shared" si="88"/>
        <v>10.444444444444445</v>
      </c>
      <c r="AX80" s="79">
        <f t="shared" si="89"/>
        <v>5.2222222222222232</v>
      </c>
      <c r="AY80" s="52">
        <f t="shared" si="90"/>
        <v>2.25</v>
      </c>
      <c r="AZ80" s="77">
        <f t="shared" si="91"/>
        <v>20.666666666666668</v>
      </c>
      <c r="BA80" s="79">
        <f t="shared" si="92"/>
        <v>9.1851851851851851</v>
      </c>
      <c r="BB80" s="79">
        <f t="shared" si="93"/>
        <v>6.8888888888888893</v>
      </c>
      <c r="BC80" s="52">
        <f t="shared" si="94"/>
        <v>3</v>
      </c>
      <c r="BD80" s="77">
        <f t="shared" si="95"/>
        <v>25.666666666666668</v>
      </c>
      <c r="BE80" s="79">
        <f t="shared" si="96"/>
        <v>8.5555555555555554</v>
      </c>
      <c r="BF80" s="79">
        <f t="shared" si="97"/>
        <v>8.5555555555555571</v>
      </c>
    </row>
    <row r="81" spans="1:60" ht="30" x14ac:dyDescent="0.25">
      <c r="A81" s="294"/>
      <c r="B81" s="57" t="s">
        <v>397</v>
      </c>
      <c r="C81" s="54" t="s">
        <v>398</v>
      </c>
      <c r="D81" s="96" t="s">
        <v>574</v>
      </c>
      <c r="E81" s="96">
        <v>30</v>
      </c>
      <c r="F81" s="206">
        <v>0.25</v>
      </c>
      <c r="G81" s="206">
        <f t="shared" si="68"/>
        <v>7.5</v>
      </c>
      <c r="H81" s="206">
        <v>2</v>
      </c>
      <c r="I81" s="206">
        <f t="shared" si="69"/>
        <v>15</v>
      </c>
      <c r="J81" s="206">
        <v>0.75</v>
      </c>
      <c r="K81" s="206">
        <f t="shared" si="70"/>
        <v>22.5</v>
      </c>
      <c r="L81" s="206">
        <v>1</v>
      </c>
      <c r="M81" s="206">
        <f t="shared" si="71"/>
        <v>30</v>
      </c>
      <c r="N81" s="57">
        <v>0</v>
      </c>
      <c r="O81" s="57">
        <v>0</v>
      </c>
      <c r="P81" s="57">
        <v>56</v>
      </c>
      <c r="Q81" s="57">
        <f t="shared" si="75"/>
        <v>56</v>
      </c>
      <c r="R81" s="59">
        <v>1</v>
      </c>
      <c r="S81" s="55" t="str">
        <f t="shared" si="62"/>
        <v>Nivel del indicador que satisface y supera las expectativas</v>
      </c>
      <c r="T81" s="176">
        <v>20</v>
      </c>
      <c r="U81" s="176">
        <v>53</v>
      </c>
      <c r="V81" s="176">
        <v>9</v>
      </c>
      <c r="W81" s="56">
        <f t="shared" si="72"/>
        <v>138</v>
      </c>
      <c r="X81" s="59">
        <v>1</v>
      </c>
      <c r="Y81" s="55" t="str">
        <f t="shared" si="76"/>
        <v>Nivel del indicador que satisface y supera las expectativas</v>
      </c>
      <c r="Z81" s="57"/>
      <c r="AA81" s="57"/>
      <c r="AB81" s="57">
        <v>138</v>
      </c>
      <c r="AC81" s="56">
        <f t="shared" si="77"/>
        <v>138</v>
      </c>
      <c r="AD81" s="59">
        <v>1</v>
      </c>
      <c r="AE81" s="55" t="str">
        <f t="shared" si="78"/>
        <v>Nivel del indicador que satisface y supera las expectativas</v>
      </c>
      <c r="AF81" s="57"/>
      <c r="AG81" s="57"/>
      <c r="AH81" s="57"/>
      <c r="AI81" s="56">
        <f t="shared" si="73"/>
        <v>138</v>
      </c>
      <c r="AJ81" s="59">
        <f t="shared" si="79"/>
        <v>4.5999999999999996</v>
      </c>
      <c r="AK81" s="55" t="str">
        <f t="shared" si="80"/>
        <v>Nivel del indicador que satisface y supera las expectativas</v>
      </c>
      <c r="AN81" t="s">
        <v>205</v>
      </c>
      <c r="AO81" t="s">
        <v>206</v>
      </c>
      <c r="AP81" s="52">
        <f t="shared" si="81"/>
        <v>30</v>
      </c>
      <c r="AQ81" s="52">
        <f t="shared" si="82"/>
        <v>7.5</v>
      </c>
      <c r="AR81" s="52">
        <f t="shared" si="83"/>
        <v>56</v>
      </c>
      <c r="AS81" s="79">
        <f t="shared" si="84"/>
        <v>7.4666666666666668</v>
      </c>
      <c r="AT81" s="79">
        <f t="shared" si="85"/>
        <v>1.8666666666666665</v>
      </c>
      <c r="AU81" s="52">
        <f t="shared" si="86"/>
        <v>15</v>
      </c>
      <c r="AV81" s="77">
        <f t="shared" si="87"/>
        <v>139.86666666666667</v>
      </c>
      <c r="AW81" s="79">
        <f t="shared" si="88"/>
        <v>9.3244444444444454</v>
      </c>
      <c r="AX81" s="79">
        <f t="shared" si="89"/>
        <v>4.6622222222222227</v>
      </c>
      <c r="AY81" s="52">
        <f t="shared" si="90"/>
        <v>22.5</v>
      </c>
      <c r="AZ81" s="77">
        <f t="shared" si="91"/>
        <v>277.86666666666667</v>
      </c>
      <c r="BA81" s="79">
        <f t="shared" si="92"/>
        <v>12.34962962962963</v>
      </c>
      <c r="BB81" s="79">
        <f t="shared" si="93"/>
        <v>9.2622222222222224</v>
      </c>
      <c r="BC81" s="52">
        <f t="shared" si="94"/>
        <v>30</v>
      </c>
      <c r="BD81" s="77">
        <f t="shared" si="95"/>
        <v>415.86666666666667</v>
      </c>
      <c r="BE81" s="79">
        <f t="shared" si="96"/>
        <v>13.862222222222222</v>
      </c>
      <c r="BF81" s="79">
        <f t="shared" si="97"/>
        <v>13.862222222222222</v>
      </c>
    </row>
    <row r="82" spans="1:60" ht="30" x14ac:dyDescent="0.25">
      <c r="A82" s="57" t="s">
        <v>399</v>
      </c>
      <c r="B82" s="57" t="s">
        <v>337</v>
      </c>
      <c r="C82" s="54" t="s">
        <v>400</v>
      </c>
      <c r="D82" s="96" t="s">
        <v>620</v>
      </c>
      <c r="E82" s="96">
        <v>2</v>
      </c>
      <c r="F82" s="206">
        <v>0.25</v>
      </c>
      <c r="G82" s="206">
        <f t="shared" si="68"/>
        <v>0.5</v>
      </c>
      <c r="H82" s="206">
        <v>2</v>
      </c>
      <c r="I82" s="206">
        <f t="shared" si="69"/>
        <v>1</v>
      </c>
      <c r="J82" s="206">
        <v>0.75</v>
      </c>
      <c r="K82" s="206">
        <f t="shared" si="70"/>
        <v>1.5</v>
      </c>
      <c r="L82" s="206">
        <v>1</v>
      </c>
      <c r="M82" s="206">
        <f t="shared" si="71"/>
        <v>2</v>
      </c>
      <c r="N82" s="57">
        <v>0</v>
      </c>
      <c r="O82" s="57">
        <v>0</v>
      </c>
      <c r="P82" s="57">
        <v>1</v>
      </c>
      <c r="Q82" s="57">
        <f t="shared" si="75"/>
        <v>1</v>
      </c>
      <c r="R82" s="59">
        <v>1</v>
      </c>
      <c r="S82" s="55" t="str">
        <f t="shared" si="62"/>
        <v>Nivel del indicador que satisface y supera las expectativas</v>
      </c>
      <c r="T82" s="163">
        <v>0</v>
      </c>
      <c r="U82" s="163">
        <v>0</v>
      </c>
      <c r="V82" s="163">
        <v>1</v>
      </c>
      <c r="W82" s="56">
        <f t="shared" si="72"/>
        <v>2</v>
      </c>
      <c r="X82" s="59">
        <v>1</v>
      </c>
      <c r="Y82" s="55" t="str">
        <f t="shared" si="76"/>
        <v>Nivel del indicador que satisface y supera las expectativas</v>
      </c>
      <c r="Z82" s="57"/>
      <c r="AA82" s="57"/>
      <c r="AB82" s="57">
        <v>1</v>
      </c>
      <c r="AC82" s="56">
        <f t="shared" si="77"/>
        <v>1</v>
      </c>
      <c r="AD82" s="59">
        <f t="shared" si="98"/>
        <v>0.66666666666666663</v>
      </c>
      <c r="AE82" s="55" t="str">
        <f t="shared" si="78"/>
        <v>Nivel del indicador que cumple las expectativas</v>
      </c>
      <c r="AF82" s="57"/>
      <c r="AG82" s="57"/>
      <c r="AH82" s="57"/>
      <c r="AI82" s="238">
        <f t="shared" si="73"/>
        <v>1</v>
      </c>
      <c r="AJ82" s="59">
        <f t="shared" si="79"/>
        <v>0.5</v>
      </c>
      <c r="AK82" s="55" t="str">
        <f t="shared" si="80"/>
        <v>Nivel Aceptable del Indicador</v>
      </c>
      <c r="AP82" s="52">
        <f t="shared" si="81"/>
        <v>2</v>
      </c>
      <c r="AQ82" s="52">
        <f t="shared" si="82"/>
        <v>0.5</v>
      </c>
      <c r="AR82" s="52">
        <f t="shared" si="83"/>
        <v>1</v>
      </c>
      <c r="AS82" s="79">
        <f t="shared" si="84"/>
        <v>2</v>
      </c>
      <c r="AT82" s="79">
        <f t="shared" si="85"/>
        <v>0.5</v>
      </c>
      <c r="AU82" s="52">
        <f t="shared" si="86"/>
        <v>1</v>
      </c>
      <c r="AV82" s="77">
        <f t="shared" si="87"/>
        <v>2.5</v>
      </c>
      <c r="AW82" s="79">
        <f t="shared" si="88"/>
        <v>2.5</v>
      </c>
      <c r="AX82" s="79">
        <f t="shared" si="89"/>
        <v>1.25</v>
      </c>
      <c r="AY82" s="52">
        <f t="shared" si="90"/>
        <v>1.5</v>
      </c>
      <c r="AZ82" s="77">
        <f t="shared" si="91"/>
        <v>3.5</v>
      </c>
      <c r="BA82" s="79">
        <f t="shared" si="92"/>
        <v>2.3333333333333335</v>
      </c>
      <c r="BB82" s="79">
        <f t="shared" si="93"/>
        <v>1.75</v>
      </c>
      <c r="BC82" s="52">
        <f t="shared" si="94"/>
        <v>2</v>
      </c>
      <c r="BD82" s="77">
        <f t="shared" si="95"/>
        <v>4.5</v>
      </c>
      <c r="BE82" s="79">
        <f t="shared" si="96"/>
        <v>2.25</v>
      </c>
      <c r="BF82" s="79">
        <f t="shared" si="97"/>
        <v>2.25</v>
      </c>
    </row>
    <row r="83" spans="1:60" ht="24.75" customHeight="1" x14ac:dyDescent="0.25">
      <c r="A83" s="57" t="s">
        <v>401</v>
      </c>
      <c r="B83" s="57" t="s">
        <v>342</v>
      </c>
      <c r="C83" s="54" t="s">
        <v>402</v>
      </c>
      <c r="D83" s="96" t="s">
        <v>622</v>
      </c>
      <c r="E83" s="96">
        <v>1</v>
      </c>
      <c r="F83" s="206">
        <v>0.25</v>
      </c>
      <c r="G83" s="206">
        <f t="shared" si="68"/>
        <v>0.25</v>
      </c>
      <c r="H83" s="206">
        <v>2</v>
      </c>
      <c r="I83" s="206">
        <f t="shared" si="69"/>
        <v>0.5</v>
      </c>
      <c r="J83" s="206">
        <v>0.75</v>
      </c>
      <c r="K83" s="206">
        <f t="shared" si="70"/>
        <v>0.75</v>
      </c>
      <c r="L83" s="206">
        <v>1</v>
      </c>
      <c r="M83" s="206">
        <f t="shared" si="71"/>
        <v>1</v>
      </c>
      <c r="N83" s="57">
        <v>0</v>
      </c>
      <c r="O83" s="57">
        <v>0</v>
      </c>
      <c r="P83" s="57">
        <v>1</v>
      </c>
      <c r="Q83" s="57">
        <f t="shared" si="75"/>
        <v>1</v>
      </c>
      <c r="R83" s="59">
        <v>1</v>
      </c>
      <c r="S83" s="55" t="str">
        <f t="shared" si="62"/>
        <v>Nivel del indicador que satisface y supera las expectativas</v>
      </c>
      <c r="T83" s="163">
        <v>0</v>
      </c>
      <c r="U83" s="163">
        <v>0</v>
      </c>
      <c r="V83" s="163">
        <v>1</v>
      </c>
      <c r="W83" s="56">
        <f t="shared" si="72"/>
        <v>2</v>
      </c>
      <c r="X83" s="59">
        <v>1</v>
      </c>
      <c r="Y83" s="55" t="str">
        <f t="shared" si="76"/>
        <v>Nivel del indicador que satisface y supera las expectativas</v>
      </c>
      <c r="Z83" s="57"/>
      <c r="AA83" s="57"/>
      <c r="AB83" s="57">
        <v>1</v>
      </c>
      <c r="AC83" s="56">
        <f t="shared" si="77"/>
        <v>1</v>
      </c>
      <c r="AD83" s="59">
        <v>1</v>
      </c>
      <c r="AE83" s="55" t="str">
        <f t="shared" si="78"/>
        <v>Nivel del indicador que satisface y supera las expectativas</v>
      </c>
      <c r="AF83" s="57"/>
      <c r="AG83" s="57"/>
      <c r="AH83" s="57"/>
      <c r="AI83" s="56">
        <f t="shared" si="73"/>
        <v>1</v>
      </c>
      <c r="AJ83" s="59">
        <f t="shared" si="79"/>
        <v>1</v>
      </c>
      <c r="AK83" s="55" t="str">
        <f t="shared" si="80"/>
        <v>Nivel del indicador que satisface y supera las expectativas</v>
      </c>
      <c r="AP83" s="52">
        <f t="shared" si="81"/>
        <v>1</v>
      </c>
      <c r="AQ83" s="52">
        <f t="shared" si="82"/>
        <v>0.25</v>
      </c>
      <c r="AR83" s="52">
        <f t="shared" si="83"/>
        <v>1</v>
      </c>
      <c r="AS83" s="79">
        <f t="shared" si="84"/>
        <v>4</v>
      </c>
      <c r="AT83" s="79">
        <f t="shared" si="85"/>
        <v>1</v>
      </c>
      <c r="AU83" s="52">
        <f t="shared" si="86"/>
        <v>0.5</v>
      </c>
      <c r="AV83" s="77">
        <f t="shared" si="87"/>
        <v>3</v>
      </c>
      <c r="AW83" s="79">
        <f t="shared" si="88"/>
        <v>6</v>
      </c>
      <c r="AX83" s="79">
        <f t="shared" si="89"/>
        <v>3</v>
      </c>
      <c r="AY83" s="52">
        <f t="shared" si="90"/>
        <v>0.75</v>
      </c>
      <c r="AZ83" s="77">
        <f t="shared" si="91"/>
        <v>4</v>
      </c>
      <c r="BA83" s="79">
        <f t="shared" si="92"/>
        <v>5.333333333333333</v>
      </c>
      <c r="BB83" s="79">
        <f t="shared" si="93"/>
        <v>4</v>
      </c>
      <c r="BC83" s="52">
        <f t="shared" si="94"/>
        <v>1</v>
      </c>
      <c r="BD83" s="77">
        <f t="shared" si="95"/>
        <v>5</v>
      </c>
      <c r="BE83" s="79">
        <f t="shared" si="96"/>
        <v>5</v>
      </c>
      <c r="BF83" s="79">
        <f t="shared" si="97"/>
        <v>5</v>
      </c>
    </row>
    <row r="84" spans="1:60" ht="30" x14ac:dyDescent="0.25">
      <c r="A84" s="57" t="s">
        <v>403</v>
      </c>
      <c r="B84" s="57" t="s">
        <v>347</v>
      </c>
      <c r="C84" s="54" t="s">
        <v>404</v>
      </c>
      <c r="D84" s="96" t="s">
        <v>620</v>
      </c>
      <c r="E84" s="96">
        <v>1</v>
      </c>
      <c r="F84" s="206">
        <v>0.25</v>
      </c>
      <c r="G84" s="206">
        <f t="shared" si="68"/>
        <v>0.25</v>
      </c>
      <c r="H84" s="206">
        <v>2</v>
      </c>
      <c r="I84" s="206">
        <f t="shared" si="69"/>
        <v>0.5</v>
      </c>
      <c r="J84" s="206">
        <v>0.75</v>
      </c>
      <c r="K84" s="206">
        <f t="shared" si="70"/>
        <v>0.75</v>
      </c>
      <c r="L84" s="206">
        <v>1</v>
      </c>
      <c r="M84" s="206">
        <f t="shared" si="71"/>
        <v>1</v>
      </c>
      <c r="N84" s="57">
        <v>0</v>
      </c>
      <c r="O84" s="57">
        <v>0</v>
      </c>
      <c r="P84" s="57">
        <v>2</v>
      </c>
      <c r="Q84" s="57">
        <f t="shared" si="75"/>
        <v>2</v>
      </c>
      <c r="R84" s="59">
        <v>1</v>
      </c>
      <c r="S84" s="55" t="str">
        <f t="shared" si="62"/>
        <v>Nivel del indicador que satisface y supera las expectativas</v>
      </c>
      <c r="T84" s="163">
        <v>0</v>
      </c>
      <c r="U84" s="163">
        <v>0</v>
      </c>
      <c r="V84" s="163">
        <v>2</v>
      </c>
      <c r="W84" s="56">
        <f t="shared" si="72"/>
        <v>4</v>
      </c>
      <c r="X84" s="59">
        <v>1</v>
      </c>
      <c r="Y84" s="55" t="str">
        <f t="shared" si="76"/>
        <v>Nivel del indicador que satisface y supera las expectativas</v>
      </c>
      <c r="Z84" s="57"/>
      <c r="AA84" s="57"/>
      <c r="AB84" s="57">
        <v>2</v>
      </c>
      <c r="AC84" s="56">
        <f t="shared" si="77"/>
        <v>2</v>
      </c>
      <c r="AD84" s="59">
        <v>1</v>
      </c>
      <c r="AE84" s="55" t="str">
        <f t="shared" si="78"/>
        <v>Nivel del indicador que satisface y supera las expectativas</v>
      </c>
      <c r="AF84" s="57"/>
      <c r="AG84" s="57"/>
      <c r="AH84" s="57"/>
      <c r="AI84" s="56">
        <f t="shared" si="73"/>
        <v>2</v>
      </c>
      <c r="AJ84" s="59">
        <f t="shared" si="79"/>
        <v>2</v>
      </c>
      <c r="AK84" s="55" t="str">
        <f t="shared" si="80"/>
        <v>Nivel del indicador que satisface y supera las expectativas</v>
      </c>
      <c r="AP84" s="52">
        <f t="shared" si="81"/>
        <v>1</v>
      </c>
      <c r="AQ84" s="52">
        <f t="shared" si="82"/>
        <v>0.25</v>
      </c>
      <c r="AR84" s="52">
        <f t="shared" si="83"/>
        <v>2</v>
      </c>
      <c r="AS84" s="79">
        <f t="shared" si="84"/>
        <v>8</v>
      </c>
      <c r="AT84" s="79">
        <f t="shared" si="85"/>
        <v>2</v>
      </c>
      <c r="AU84" s="52">
        <f t="shared" si="86"/>
        <v>0.5</v>
      </c>
      <c r="AV84" s="77">
        <f t="shared" si="87"/>
        <v>6</v>
      </c>
      <c r="AW84" s="79">
        <f t="shared" si="88"/>
        <v>12</v>
      </c>
      <c r="AX84" s="79">
        <f t="shared" si="89"/>
        <v>6</v>
      </c>
      <c r="AY84" s="52">
        <f t="shared" si="90"/>
        <v>0.75</v>
      </c>
      <c r="AZ84" s="77">
        <f t="shared" si="91"/>
        <v>8</v>
      </c>
      <c r="BA84" s="79">
        <f t="shared" si="92"/>
        <v>10.666666666666666</v>
      </c>
      <c r="BB84" s="79">
        <f t="shared" si="93"/>
        <v>8</v>
      </c>
      <c r="BC84" s="52">
        <f t="shared" si="94"/>
        <v>1</v>
      </c>
      <c r="BD84" s="77">
        <f t="shared" si="95"/>
        <v>10</v>
      </c>
      <c r="BE84" s="79">
        <f t="shared" si="96"/>
        <v>10</v>
      </c>
      <c r="BF84" s="79">
        <f t="shared" si="97"/>
        <v>10</v>
      </c>
    </row>
    <row r="85" spans="1:60" ht="44.25" customHeight="1" x14ac:dyDescent="0.25">
      <c r="A85" s="292" t="s">
        <v>405</v>
      </c>
      <c r="B85" s="57" t="s">
        <v>350</v>
      </c>
      <c r="C85" s="54" t="s">
        <v>406</v>
      </c>
      <c r="D85" s="96" t="s">
        <v>620</v>
      </c>
      <c r="E85" s="96">
        <v>1</v>
      </c>
      <c r="F85" s="206">
        <v>0.25</v>
      </c>
      <c r="G85" s="206">
        <f t="shared" si="68"/>
        <v>0.25</v>
      </c>
      <c r="H85" s="206">
        <v>2</v>
      </c>
      <c r="I85" s="206">
        <f t="shared" si="69"/>
        <v>0.5</v>
      </c>
      <c r="J85" s="206">
        <v>0.75</v>
      </c>
      <c r="K85" s="206">
        <f t="shared" si="70"/>
        <v>0.75</v>
      </c>
      <c r="L85" s="206">
        <v>1</v>
      </c>
      <c r="M85" s="206">
        <f t="shared" si="71"/>
        <v>1</v>
      </c>
      <c r="N85" s="57">
        <v>0</v>
      </c>
      <c r="O85" s="57">
        <v>0</v>
      </c>
      <c r="P85" s="57">
        <v>1</v>
      </c>
      <c r="Q85" s="57">
        <f t="shared" si="75"/>
        <v>1</v>
      </c>
      <c r="R85" s="59">
        <v>1</v>
      </c>
      <c r="S85" s="55" t="str">
        <f t="shared" si="62"/>
        <v>Nivel del indicador que satisface y supera las expectativas</v>
      </c>
      <c r="T85" s="163">
        <v>0</v>
      </c>
      <c r="U85" s="163">
        <v>0</v>
      </c>
      <c r="V85" s="163">
        <v>1</v>
      </c>
      <c r="W85" s="56">
        <f t="shared" si="72"/>
        <v>2</v>
      </c>
      <c r="X85" s="59">
        <v>1</v>
      </c>
      <c r="Y85" s="55" t="str">
        <f t="shared" si="76"/>
        <v>Nivel del indicador que satisface y supera las expectativas</v>
      </c>
      <c r="Z85" s="57"/>
      <c r="AA85" s="57"/>
      <c r="AB85" s="57">
        <v>1</v>
      </c>
      <c r="AC85" s="56">
        <f t="shared" si="77"/>
        <v>1</v>
      </c>
      <c r="AD85" s="59">
        <v>1</v>
      </c>
      <c r="AE85" s="55" t="str">
        <f t="shared" si="78"/>
        <v>Nivel del indicador que satisface y supera las expectativas</v>
      </c>
      <c r="AF85" s="57"/>
      <c r="AG85" s="57"/>
      <c r="AH85" s="57"/>
      <c r="AI85" s="56">
        <f t="shared" si="73"/>
        <v>1</v>
      </c>
      <c r="AJ85" s="59">
        <f t="shared" si="79"/>
        <v>1</v>
      </c>
      <c r="AK85" s="55" t="str">
        <f t="shared" si="80"/>
        <v>Nivel del indicador que satisface y supera las expectativas</v>
      </c>
      <c r="AP85" s="52">
        <f t="shared" si="81"/>
        <v>1</v>
      </c>
      <c r="AQ85" s="52">
        <f t="shared" si="82"/>
        <v>0.25</v>
      </c>
      <c r="AR85" s="52">
        <f t="shared" si="83"/>
        <v>1</v>
      </c>
      <c r="AS85" s="79">
        <f t="shared" si="84"/>
        <v>4</v>
      </c>
      <c r="AT85" s="79">
        <f t="shared" si="85"/>
        <v>1</v>
      </c>
      <c r="AU85" s="52">
        <f t="shared" si="86"/>
        <v>0.5</v>
      </c>
      <c r="AV85" s="77">
        <f t="shared" si="87"/>
        <v>3</v>
      </c>
      <c r="AW85" s="79">
        <f t="shared" si="88"/>
        <v>6</v>
      </c>
      <c r="AX85" s="79">
        <f t="shared" si="89"/>
        <v>3</v>
      </c>
      <c r="AY85" s="52">
        <f t="shared" si="90"/>
        <v>0.75</v>
      </c>
      <c r="AZ85" s="77">
        <f t="shared" si="91"/>
        <v>4</v>
      </c>
      <c r="BA85" s="79">
        <f t="shared" si="92"/>
        <v>5.333333333333333</v>
      </c>
      <c r="BB85" s="79">
        <f t="shared" si="93"/>
        <v>4</v>
      </c>
      <c r="BC85" s="52">
        <f t="shared" si="94"/>
        <v>1</v>
      </c>
      <c r="BD85" s="77">
        <f t="shared" si="95"/>
        <v>5</v>
      </c>
      <c r="BE85" s="79">
        <f t="shared" si="96"/>
        <v>5</v>
      </c>
      <c r="BF85" s="79">
        <f t="shared" si="97"/>
        <v>5</v>
      </c>
    </row>
    <row r="86" spans="1:60" ht="21" customHeight="1" x14ac:dyDescent="0.25">
      <c r="A86" s="293"/>
      <c r="B86" s="57" t="s">
        <v>352</v>
      </c>
      <c r="C86" s="54" t="s">
        <v>100</v>
      </c>
      <c r="D86" s="96" t="s">
        <v>620</v>
      </c>
      <c r="E86" s="96">
        <v>1</v>
      </c>
      <c r="F86" s="206">
        <v>0.25</v>
      </c>
      <c r="G86" s="206">
        <f t="shared" si="68"/>
        <v>0.25</v>
      </c>
      <c r="H86" s="206">
        <v>2</v>
      </c>
      <c r="I86" s="206">
        <f t="shared" si="69"/>
        <v>0.5</v>
      </c>
      <c r="J86" s="206">
        <v>0.75</v>
      </c>
      <c r="K86" s="206">
        <f t="shared" si="70"/>
        <v>0.75</v>
      </c>
      <c r="L86" s="206">
        <v>1</v>
      </c>
      <c r="M86" s="206">
        <f t="shared" si="71"/>
        <v>1</v>
      </c>
      <c r="N86" s="57">
        <v>0</v>
      </c>
      <c r="O86" s="57">
        <v>0</v>
      </c>
      <c r="P86" s="57">
        <v>1</v>
      </c>
      <c r="Q86" s="57">
        <f t="shared" si="75"/>
        <v>1</v>
      </c>
      <c r="R86" s="59">
        <v>1</v>
      </c>
      <c r="S86" s="55" t="str">
        <f t="shared" si="62"/>
        <v>Nivel del indicador que satisface y supera las expectativas</v>
      </c>
      <c r="T86" s="163">
        <v>0</v>
      </c>
      <c r="U86" s="163">
        <v>0</v>
      </c>
      <c r="V86" s="163">
        <v>1</v>
      </c>
      <c r="W86" s="56">
        <f t="shared" si="72"/>
        <v>2</v>
      </c>
      <c r="X86" s="59">
        <v>1</v>
      </c>
      <c r="Y86" s="55" t="str">
        <f t="shared" si="76"/>
        <v>Nivel del indicador que satisface y supera las expectativas</v>
      </c>
      <c r="Z86" s="57"/>
      <c r="AA86" s="57"/>
      <c r="AB86" s="214">
        <v>1</v>
      </c>
      <c r="AC86" s="56">
        <f t="shared" si="77"/>
        <v>1</v>
      </c>
      <c r="AD86" s="59">
        <v>1</v>
      </c>
      <c r="AE86" s="55" t="str">
        <f t="shared" si="78"/>
        <v>Nivel del indicador que satisface y supera las expectativas</v>
      </c>
      <c r="AF86" s="57"/>
      <c r="AG86" s="57"/>
      <c r="AH86" s="57"/>
      <c r="AI86" s="56">
        <f t="shared" si="73"/>
        <v>1</v>
      </c>
      <c r="AJ86" s="59">
        <f t="shared" si="79"/>
        <v>1</v>
      </c>
      <c r="AK86" s="55" t="str">
        <f t="shared" si="80"/>
        <v>Nivel del indicador que satisface y supera las expectativas</v>
      </c>
      <c r="AP86" s="52">
        <f t="shared" si="81"/>
        <v>1</v>
      </c>
      <c r="AQ86" s="52">
        <f t="shared" si="82"/>
        <v>0.25</v>
      </c>
      <c r="AR86" s="52">
        <f t="shared" si="83"/>
        <v>1</v>
      </c>
      <c r="AS86" s="79">
        <f t="shared" si="84"/>
        <v>4</v>
      </c>
      <c r="AT86" s="79">
        <f t="shared" si="85"/>
        <v>1</v>
      </c>
      <c r="AU86" s="52">
        <f t="shared" si="86"/>
        <v>0.5</v>
      </c>
      <c r="AV86" s="77">
        <f t="shared" si="87"/>
        <v>3</v>
      </c>
      <c r="AW86" s="79">
        <f t="shared" si="88"/>
        <v>6</v>
      </c>
      <c r="AX86" s="79">
        <f t="shared" si="89"/>
        <v>3</v>
      </c>
      <c r="AY86" s="52">
        <f t="shared" si="90"/>
        <v>0.75</v>
      </c>
      <c r="AZ86" s="77">
        <f t="shared" si="91"/>
        <v>4</v>
      </c>
      <c r="BA86" s="79">
        <f t="shared" si="92"/>
        <v>5.333333333333333</v>
      </c>
      <c r="BB86" s="79">
        <f t="shared" si="93"/>
        <v>4</v>
      </c>
      <c r="BC86" s="52">
        <f t="shared" si="94"/>
        <v>1</v>
      </c>
      <c r="BD86" s="77">
        <f t="shared" si="95"/>
        <v>5</v>
      </c>
      <c r="BE86" s="79">
        <f t="shared" si="96"/>
        <v>5</v>
      </c>
      <c r="BF86" s="79">
        <f t="shared" si="97"/>
        <v>5</v>
      </c>
    </row>
    <row r="87" spans="1:60" ht="21" customHeight="1" thickBot="1" x14ac:dyDescent="0.3">
      <c r="A87" s="294"/>
      <c r="B87" s="57" t="s">
        <v>354</v>
      </c>
      <c r="C87" s="54" t="s">
        <v>407</v>
      </c>
      <c r="D87" s="58" t="s">
        <v>620</v>
      </c>
      <c r="E87" s="58">
        <v>1</v>
      </c>
      <c r="F87" s="206">
        <v>0.25</v>
      </c>
      <c r="G87" s="206">
        <f t="shared" si="68"/>
        <v>0.25</v>
      </c>
      <c r="H87" s="206">
        <v>2</v>
      </c>
      <c r="I87" s="206">
        <f t="shared" si="69"/>
        <v>0.5</v>
      </c>
      <c r="J87" s="206">
        <v>0.75</v>
      </c>
      <c r="K87" s="206">
        <f t="shared" si="70"/>
        <v>0.75</v>
      </c>
      <c r="L87" s="206">
        <v>1</v>
      </c>
      <c r="M87" s="206">
        <f t="shared" si="71"/>
        <v>1</v>
      </c>
      <c r="N87" s="57">
        <v>0</v>
      </c>
      <c r="O87" s="57">
        <v>0</v>
      </c>
      <c r="P87" s="57">
        <v>1</v>
      </c>
      <c r="Q87" s="57">
        <f t="shared" si="75"/>
        <v>1</v>
      </c>
      <c r="R87" s="59">
        <v>1</v>
      </c>
      <c r="S87" s="55" t="str">
        <f t="shared" si="62"/>
        <v>Nivel del indicador que satisface y supera las expectativas</v>
      </c>
      <c r="T87" s="163">
        <v>0</v>
      </c>
      <c r="U87" s="163">
        <v>0</v>
      </c>
      <c r="V87" s="163">
        <v>1</v>
      </c>
      <c r="W87" s="56">
        <f t="shared" si="72"/>
        <v>2</v>
      </c>
      <c r="X87" s="59">
        <v>1</v>
      </c>
      <c r="Y87" s="55" t="str">
        <f t="shared" si="76"/>
        <v>Nivel del indicador que satisface y supera las expectativas</v>
      </c>
      <c r="Z87" s="57"/>
      <c r="AA87" s="57"/>
      <c r="AB87" s="214">
        <v>1</v>
      </c>
      <c r="AC87" s="56">
        <f t="shared" ref="AC87:AC92" si="100">Z87+AA87+AB87</f>
        <v>1</v>
      </c>
      <c r="AD87" s="59">
        <v>1</v>
      </c>
      <c r="AE87" s="55" t="str">
        <f t="shared" si="78"/>
        <v>Nivel del indicador que satisface y supera las expectativas</v>
      </c>
      <c r="AF87" s="57"/>
      <c r="AG87" s="57"/>
      <c r="AH87" s="57"/>
      <c r="AI87" s="56">
        <f t="shared" si="73"/>
        <v>1</v>
      </c>
      <c r="AJ87" s="59">
        <f t="shared" si="79"/>
        <v>1</v>
      </c>
      <c r="AK87" s="55" t="str">
        <f t="shared" si="80"/>
        <v>Nivel del indicador que satisface y supera las expectativas</v>
      </c>
      <c r="AP87" s="52">
        <f t="shared" si="81"/>
        <v>1</v>
      </c>
      <c r="AQ87" s="52">
        <f t="shared" si="82"/>
        <v>0.25</v>
      </c>
      <c r="AR87" s="52">
        <f t="shared" si="83"/>
        <v>1</v>
      </c>
      <c r="AS87" s="79">
        <f t="shared" si="84"/>
        <v>4</v>
      </c>
      <c r="AT87" s="79">
        <f t="shared" si="85"/>
        <v>1</v>
      </c>
      <c r="AU87" s="52">
        <f t="shared" si="86"/>
        <v>0.5</v>
      </c>
      <c r="AV87" s="77">
        <f t="shared" si="87"/>
        <v>3</v>
      </c>
      <c r="AW87" s="79">
        <f t="shared" si="88"/>
        <v>6</v>
      </c>
      <c r="AX87" s="79">
        <f t="shared" si="89"/>
        <v>3</v>
      </c>
      <c r="AY87" s="52">
        <f t="shared" si="90"/>
        <v>0.75</v>
      </c>
      <c r="AZ87" s="77">
        <f t="shared" si="91"/>
        <v>4</v>
      </c>
      <c r="BA87" s="79">
        <f t="shared" si="92"/>
        <v>5.333333333333333</v>
      </c>
      <c r="BB87" s="79">
        <f t="shared" si="93"/>
        <v>4</v>
      </c>
      <c r="BC87" s="52">
        <f t="shared" si="94"/>
        <v>1</v>
      </c>
      <c r="BD87" s="77">
        <f t="shared" si="95"/>
        <v>5</v>
      </c>
      <c r="BE87" s="79">
        <f t="shared" si="96"/>
        <v>5</v>
      </c>
      <c r="BF87" s="79">
        <f t="shared" si="97"/>
        <v>5</v>
      </c>
    </row>
    <row r="88" spans="1:60" ht="31.5" customHeight="1" x14ac:dyDescent="0.25">
      <c r="A88" s="292" t="s">
        <v>414</v>
      </c>
      <c r="B88" s="57" t="s">
        <v>415</v>
      </c>
      <c r="C88" s="58" t="s">
        <v>416</v>
      </c>
      <c r="D88" s="100" t="s">
        <v>544</v>
      </c>
      <c r="E88" s="99">
        <v>2700</v>
      </c>
      <c r="F88" s="206">
        <v>0.25</v>
      </c>
      <c r="G88" s="206">
        <f t="shared" si="68"/>
        <v>675</v>
      </c>
      <c r="H88" s="206">
        <v>2</v>
      </c>
      <c r="I88" s="206">
        <f t="shared" si="69"/>
        <v>1350</v>
      </c>
      <c r="J88" s="206">
        <v>0.75</v>
      </c>
      <c r="K88" s="206">
        <f t="shared" si="70"/>
        <v>2025</v>
      </c>
      <c r="L88" s="206">
        <v>1</v>
      </c>
      <c r="M88" s="206">
        <f t="shared" si="71"/>
        <v>2700</v>
      </c>
      <c r="N88" s="110">
        <v>0</v>
      </c>
      <c r="O88" s="110">
        <v>217</v>
      </c>
      <c r="P88" s="110">
        <v>109</v>
      </c>
      <c r="Q88" s="57">
        <f>N88+O88+P88</f>
        <v>326</v>
      </c>
      <c r="R88" s="59">
        <f t="shared" si="74"/>
        <v>0.48296296296296298</v>
      </c>
      <c r="S88" s="55" t="str">
        <f t="shared" si="62"/>
        <v>Nivel del indicador que satisface y supera las expectativas</v>
      </c>
      <c r="T88" s="177">
        <v>330</v>
      </c>
      <c r="U88" s="177">
        <v>388</v>
      </c>
      <c r="V88" s="177">
        <v>117</v>
      </c>
      <c r="W88" s="56">
        <f t="shared" si="72"/>
        <v>1161</v>
      </c>
      <c r="X88" s="59">
        <f t="shared" si="99"/>
        <v>0.86</v>
      </c>
      <c r="Y88" s="55" t="str">
        <f>IF(AND(E88&gt;0,W88=0),"¡¡Ojo No se Ejecutaron Actividades!!",IF(X88="","",IF(X88&lt;15.99%,"Se ha avanzado muy poco o nada en este indicador",IF(X88&lt;=36.99%,"Nivel Aceptable del Indicador",IF(X88&lt;=49.99%,"Nivel del indicador que cumple las expectativas","Nivel del indicador que satisface y supera las expectativas")))))</f>
        <v>Nivel del indicador que satisface y supera las expectativas</v>
      </c>
      <c r="Z88" s="57"/>
      <c r="AA88" s="57"/>
      <c r="AB88" s="214">
        <v>1161</v>
      </c>
      <c r="AC88" s="56">
        <f t="shared" si="100"/>
        <v>1161</v>
      </c>
      <c r="AD88" s="59">
        <f t="shared" si="98"/>
        <v>0.57333333333333336</v>
      </c>
      <c r="AE88" s="55" t="str">
        <f>IF(AND(E88&gt;0,AC88=0),"¡¡Ojo No se Ejecutaron Actividades!!",IF(AD88="","",IF(AD88&lt;24.99%,"Se ha avanzado muy poco o nada en este indicador",IF(AD88&lt;=55.99%,"Nivel Aceptable del Indicador",IF(AD88&lt;=74.99%,"Nivel del indicador que cumple las expectativas","Nivel del indicador que satisface y supera las expectativas")))))</f>
        <v>Nivel del indicador que cumple las expectativas</v>
      </c>
      <c r="AF88" s="57"/>
      <c r="AG88" s="57"/>
      <c r="AH88" s="57"/>
      <c r="AI88" s="238">
        <f t="shared" si="73"/>
        <v>1161</v>
      </c>
      <c r="AJ88" s="59">
        <f>IFERROR((IF(AI88&gt;0,AI88/E88,"")),0)</f>
        <v>0.43</v>
      </c>
      <c r="AK88" s="55" t="str">
        <f>IF(AND(E88&gt;0,AI88=0),"¡¡Ojo No se Ejecutaron Actividades!!",IF(AJ88="","",IF(AJ88&lt;33.99%,"Se ha avanzado muy poco o nada en este indicador",IF(AJ88&lt;=75.99%,"Nivel Aceptable del Indicador",IF(AJ88&lt;=98.99%,"Nivel del indicador que cumple las expectativas","Nivel del indicador que satisface y supera las expectativas")))))</f>
        <v>Nivel Aceptable del Indicador</v>
      </c>
      <c r="AP88" s="52">
        <f>E88</f>
        <v>2700</v>
      </c>
      <c r="AQ88" s="52">
        <f>AP88/4</f>
        <v>675</v>
      </c>
      <c r="AR88" s="52">
        <f>Q88</f>
        <v>326</v>
      </c>
      <c r="AS88" s="79">
        <f>IFERROR((AR88/AQ88),0)</f>
        <v>0.48296296296296298</v>
      </c>
      <c r="AT88" s="79">
        <f>IFERROR((((AR88*25)/AQ88)/100),0)</f>
        <v>0.12074074074074075</v>
      </c>
      <c r="AU88" s="52">
        <f>AP88/2</f>
        <v>1350</v>
      </c>
      <c r="AV88" s="77">
        <f>W88+AT88</f>
        <v>1161.1207407407408</v>
      </c>
      <c r="AW88" s="79">
        <f>IFERROR((AV88/AU88),0)</f>
        <v>0.86008943758573386</v>
      </c>
      <c r="AX88" s="79">
        <f>IFERROR((((AV88*50)/AU88)/100),0)</f>
        <v>0.43004471879286688</v>
      </c>
      <c r="AY88" s="52">
        <f>AQ88+AU88</f>
        <v>2025</v>
      </c>
      <c r="AZ88" s="77">
        <f>AC88+AV88</f>
        <v>2322.120740740741</v>
      </c>
      <c r="BA88" s="79">
        <f>IFERROR((AZ88/AY88),0)</f>
        <v>1.1467262917238228</v>
      </c>
      <c r="BB88" s="79">
        <f>IFERROR((((AZ88*75)/AY88)/100),0)</f>
        <v>0.86004471879286692</v>
      </c>
      <c r="BC88" s="52">
        <f>AY88+AQ88</f>
        <v>2700</v>
      </c>
      <c r="BD88" s="77">
        <f>AI88+AZ88</f>
        <v>3483.120740740741</v>
      </c>
      <c r="BE88" s="79">
        <f>IFERROR((BD88/BC88),0)</f>
        <v>1.290044718792867</v>
      </c>
      <c r="BF88" s="79">
        <f>IFERROR((((BD88*100)/BC88)/100),0)</f>
        <v>1.2900447187928672</v>
      </c>
      <c r="BG88" s="52"/>
      <c r="BH88" s="52"/>
    </row>
    <row r="89" spans="1:60" ht="25.5" x14ac:dyDescent="0.25">
      <c r="A89" s="293"/>
      <c r="B89" s="292" t="s">
        <v>417</v>
      </c>
      <c r="C89" s="295" t="s">
        <v>418</v>
      </c>
      <c r="D89" s="102" t="s">
        <v>571</v>
      </c>
      <c r="E89" s="101">
        <v>478</v>
      </c>
      <c r="F89" s="206">
        <v>0.25</v>
      </c>
      <c r="G89" s="206">
        <f t="shared" si="68"/>
        <v>119.5</v>
      </c>
      <c r="H89" s="206">
        <v>2</v>
      </c>
      <c r="I89" s="206">
        <f t="shared" si="69"/>
        <v>239</v>
      </c>
      <c r="J89" s="206">
        <v>0.75</v>
      </c>
      <c r="K89" s="206">
        <f t="shared" si="70"/>
        <v>358.5</v>
      </c>
      <c r="L89" s="206">
        <v>1</v>
      </c>
      <c r="M89" s="206">
        <f t="shared" si="71"/>
        <v>478</v>
      </c>
      <c r="N89" s="111">
        <v>0</v>
      </c>
      <c r="O89" s="111">
        <v>78</v>
      </c>
      <c r="P89" s="111">
        <v>119</v>
      </c>
      <c r="Q89" s="57">
        <f t="shared" ref="Q89:Q117" si="101">N89+O89+P89</f>
        <v>197</v>
      </c>
      <c r="R89" s="59">
        <v>1</v>
      </c>
      <c r="S89" s="55" t="str">
        <f t="shared" si="62"/>
        <v>Nivel del indicador que satisface y supera las expectativas</v>
      </c>
      <c r="T89" s="177">
        <v>128</v>
      </c>
      <c r="U89" s="177">
        <v>170</v>
      </c>
      <c r="V89" s="177">
        <v>0</v>
      </c>
      <c r="W89" s="56">
        <f t="shared" si="72"/>
        <v>495</v>
      </c>
      <c r="X89" s="59">
        <v>1</v>
      </c>
      <c r="Y89" s="55" t="str">
        <f t="shared" ref="Y89:Y103" si="102">IF(AND(E89&gt;0,W89=0),"¡¡Ojo No se Ejecutaron Actividades!!",IF(X89="","",IF(X89&lt;15.99%,"Se ha avanzado muy poco o nada en este indicador",IF(X89&lt;=36.99%,"Nivel Aceptable del Indicador",IF(X89&lt;=49.99%,"Nivel del indicador que cumple las expectativas","Nivel del indicador que satisface y supera las expectativas")))))</f>
        <v>Nivel del indicador que satisface y supera las expectativas</v>
      </c>
      <c r="Z89" s="57"/>
      <c r="AA89" s="57"/>
      <c r="AB89" s="214">
        <v>495</v>
      </c>
      <c r="AC89" s="56">
        <f t="shared" si="100"/>
        <v>495</v>
      </c>
      <c r="AD89" s="59">
        <v>1</v>
      </c>
      <c r="AE89" s="55" t="str">
        <f t="shared" ref="AE89:AE103" si="103">IF(AND(E89&gt;0,AC89=0),"¡¡Ojo No se Ejecutaron Actividades!!",IF(AD89="","",IF(AD89&lt;24.99%,"Se ha avanzado muy poco o nada en este indicador",IF(AD89&lt;=55.99%,"Nivel Aceptable del Indicador",IF(AD89&lt;=74.99%,"Nivel del indicador que cumple las expectativas","Nivel del indicador que satisface y supera las expectativas")))))</f>
        <v>Nivel del indicador que satisface y supera las expectativas</v>
      </c>
      <c r="AF89" s="57"/>
      <c r="AG89" s="57"/>
      <c r="AH89" s="57"/>
      <c r="AI89" s="56">
        <f t="shared" si="73"/>
        <v>495</v>
      </c>
      <c r="AJ89" s="59">
        <f t="shared" ref="AJ89:AJ103" si="104">IFERROR((IF(AI89&gt;0,AI89/E89,"")),0)</f>
        <v>1.0355648535564854</v>
      </c>
      <c r="AK89" s="55" t="str">
        <f t="shared" ref="AK89:AK103" si="105">IF(AND(E89&gt;0,AI89=0),"¡¡Ojo No se Ejecutaron Actividades!!",IF(AJ89="","",IF(AJ89&lt;33.99%,"Se ha avanzado muy poco o nada en este indicador",IF(AJ89&lt;=75.99%,"Nivel Aceptable del Indicador",IF(AJ89&lt;=98.99%,"Nivel del indicador que cumple las expectativas","Nivel del indicador que satisface y supera las expectativas")))))</f>
        <v>Nivel del indicador que satisface y supera las expectativas</v>
      </c>
      <c r="AP89" s="52">
        <f t="shared" ref="AP89:AP103" si="106">E89</f>
        <v>478</v>
      </c>
      <c r="AQ89" s="52">
        <f t="shared" ref="AQ89:AQ103" si="107">AP89/4</f>
        <v>119.5</v>
      </c>
      <c r="AR89" s="52">
        <f t="shared" ref="AR89:AR103" si="108">Q89</f>
        <v>197</v>
      </c>
      <c r="AS89" s="79">
        <f t="shared" ref="AS89:AS103" si="109">IFERROR((AR89/AQ89),0)</f>
        <v>1.6485355648535565</v>
      </c>
      <c r="AT89" s="79">
        <f t="shared" ref="AT89:AT103" si="110">IFERROR((((AR89*25)/AQ89)/100),0)</f>
        <v>0.41213389121338911</v>
      </c>
      <c r="AU89" s="52">
        <f t="shared" ref="AU89:AU103" si="111">AP89/2</f>
        <v>239</v>
      </c>
      <c r="AV89" s="77">
        <f t="shared" ref="AV89:AV103" si="112">W89+AT89</f>
        <v>495.41213389121339</v>
      </c>
      <c r="AW89" s="79">
        <f t="shared" ref="AW89:AW103" si="113">IFERROR((AV89/AU89),0)</f>
        <v>2.0728541166996375</v>
      </c>
      <c r="AX89" s="79">
        <f t="shared" ref="AX89:AX103" si="114">IFERROR((((AV89*50)/AU89)/100),0)</f>
        <v>1.0364270583498187</v>
      </c>
      <c r="AY89" s="52">
        <f t="shared" ref="AY89:AY103" si="115">AQ89+AU89</f>
        <v>358.5</v>
      </c>
      <c r="AZ89" s="77">
        <f t="shared" ref="AZ89:AZ103" si="116">AC89+AV89</f>
        <v>990.41213389121344</v>
      </c>
      <c r="BA89" s="79">
        <f t="shared" ref="BA89:BA103" si="117">IFERROR((AZ89/AY89),0)</f>
        <v>2.7626558825417389</v>
      </c>
      <c r="BB89" s="79">
        <f t="shared" ref="BB89:BB103" si="118">IFERROR((((AZ89*75)/AY89)/100),0)</f>
        <v>2.0719919119063039</v>
      </c>
      <c r="BC89" s="52">
        <f t="shared" ref="BC89:BC103" si="119">AY89+AQ89</f>
        <v>478</v>
      </c>
      <c r="BD89" s="77">
        <f t="shared" ref="BD89:BD103" si="120">AI89+AZ89</f>
        <v>1485.4121338912134</v>
      </c>
      <c r="BE89" s="79">
        <f t="shared" ref="BE89:BE103" si="121">IFERROR((BD89/BC89),0)</f>
        <v>3.1075567654627898</v>
      </c>
      <c r="BF89" s="79">
        <f t="shared" ref="BF89:BF103" si="122">IFERROR((((BD89*100)/BC89)/100),0)</f>
        <v>3.1075567654627894</v>
      </c>
    </row>
    <row r="90" spans="1:60" ht="37.5" customHeight="1" x14ac:dyDescent="0.25">
      <c r="A90" s="293"/>
      <c r="B90" s="294"/>
      <c r="C90" s="297"/>
      <c r="D90" s="104" t="s">
        <v>544</v>
      </c>
      <c r="E90" s="103">
        <v>9548</v>
      </c>
      <c r="F90" s="206">
        <v>0.25</v>
      </c>
      <c r="G90" s="206">
        <f t="shared" si="68"/>
        <v>2387</v>
      </c>
      <c r="H90" s="206">
        <v>2</v>
      </c>
      <c r="I90" s="206">
        <f t="shared" si="69"/>
        <v>4774</v>
      </c>
      <c r="J90" s="206">
        <v>0.75</v>
      </c>
      <c r="K90" s="206">
        <f t="shared" si="70"/>
        <v>7161</v>
      </c>
      <c r="L90" s="206">
        <v>1</v>
      </c>
      <c r="M90" s="206">
        <f t="shared" si="71"/>
        <v>9548</v>
      </c>
      <c r="N90" s="112">
        <v>0</v>
      </c>
      <c r="O90" s="113">
        <v>1461</v>
      </c>
      <c r="P90" s="113">
        <v>1360</v>
      </c>
      <c r="Q90" s="57">
        <f t="shared" si="101"/>
        <v>2821</v>
      </c>
      <c r="R90" s="59">
        <v>1</v>
      </c>
      <c r="S90" s="55" t="str">
        <f t="shared" si="62"/>
        <v>Nivel del indicador que satisface y supera las expectativas</v>
      </c>
      <c r="T90" s="178">
        <v>1673</v>
      </c>
      <c r="U90" s="178">
        <v>1795</v>
      </c>
      <c r="V90" s="177">
        <v>0</v>
      </c>
      <c r="W90" s="56">
        <f t="shared" si="72"/>
        <v>6289</v>
      </c>
      <c r="X90" s="59">
        <v>1</v>
      </c>
      <c r="Y90" s="55" t="str">
        <f t="shared" si="102"/>
        <v>Nivel del indicador que satisface y supera las expectativas</v>
      </c>
      <c r="Z90" s="57"/>
      <c r="AA90" s="57"/>
      <c r="AB90" s="214">
        <v>6289</v>
      </c>
      <c r="AC90" s="56">
        <f t="shared" si="100"/>
        <v>6289</v>
      </c>
      <c r="AD90" s="59">
        <f t="shared" si="98"/>
        <v>0.87822929758413626</v>
      </c>
      <c r="AE90" s="55" t="str">
        <f t="shared" si="103"/>
        <v>Nivel del indicador que satisface y supera las expectativas</v>
      </c>
      <c r="AF90" s="57"/>
      <c r="AG90" s="57"/>
      <c r="AH90" s="57"/>
      <c r="AI90" s="238">
        <f t="shared" si="73"/>
        <v>6289</v>
      </c>
      <c r="AJ90" s="59">
        <f t="shared" si="104"/>
        <v>0.65867197318810222</v>
      </c>
      <c r="AK90" s="55" t="str">
        <f t="shared" si="105"/>
        <v>Nivel Aceptable del Indicador</v>
      </c>
      <c r="AP90" s="52">
        <f t="shared" si="106"/>
        <v>9548</v>
      </c>
      <c r="AQ90" s="52">
        <f t="shared" si="107"/>
        <v>2387</v>
      </c>
      <c r="AR90" s="52">
        <f t="shared" si="108"/>
        <v>2821</v>
      </c>
      <c r="AS90" s="79">
        <f t="shared" si="109"/>
        <v>1.1818181818181819</v>
      </c>
      <c r="AT90" s="79">
        <f t="shared" si="110"/>
        <v>0.29545454545454547</v>
      </c>
      <c r="AU90" s="52">
        <f t="shared" si="111"/>
        <v>4774</v>
      </c>
      <c r="AV90" s="77">
        <f t="shared" si="112"/>
        <v>6289.295454545455</v>
      </c>
      <c r="AW90" s="79">
        <f t="shared" si="113"/>
        <v>1.3174058346345736</v>
      </c>
      <c r="AX90" s="79">
        <f t="shared" si="114"/>
        <v>0.65870291731728681</v>
      </c>
      <c r="AY90" s="52">
        <f t="shared" si="115"/>
        <v>7161</v>
      </c>
      <c r="AZ90" s="77">
        <f t="shared" si="116"/>
        <v>12578.295454545456</v>
      </c>
      <c r="BA90" s="79">
        <f t="shared" si="117"/>
        <v>1.7564998540071857</v>
      </c>
      <c r="BB90" s="79">
        <f t="shared" si="118"/>
        <v>1.3173748905053893</v>
      </c>
      <c r="BC90" s="52">
        <f t="shared" si="119"/>
        <v>9548</v>
      </c>
      <c r="BD90" s="77">
        <f t="shared" si="120"/>
        <v>18867.295454545456</v>
      </c>
      <c r="BE90" s="79">
        <f t="shared" si="121"/>
        <v>1.9760468636934914</v>
      </c>
      <c r="BF90" s="79">
        <f t="shared" si="122"/>
        <v>1.9760468636934914</v>
      </c>
    </row>
    <row r="91" spans="1:60" ht="37.5" customHeight="1" x14ac:dyDescent="0.25">
      <c r="A91" s="294"/>
      <c r="B91" s="57" t="s">
        <v>419</v>
      </c>
      <c r="C91" s="58" t="s">
        <v>420</v>
      </c>
      <c r="D91" s="106" t="s">
        <v>545</v>
      </c>
      <c r="E91" s="105">
        <v>170</v>
      </c>
      <c r="F91" s="206">
        <v>0.25</v>
      </c>
      <c r="G91" s="206">
        <f t="shared" si="68"/>
        <v>42.5</v>
      </c>
      <c r="H91" s="206">
        <v>2</v>
      </c>
      <c r="I91" s="206">
        <f t="shared" si="69"/>
        <v>85</v>
      </c>
      <c r="J91" s="206">
        <v>0.75</v>
      </c>
      <c r="K91" s="206">
        <f t="shared" si="70"/>
        <v>127.5</v>
      </c>
      <c r="L91" s="206">
        <v>1</v>
      </c>
      <c r="M91" s="206">
        <f t="shared" si="71"/>
        <v>170</v>
      </c>
      <c r="N91" s="114">
        <v>0</v>
      </c>
      <c r="O91" s="114">
        <v>40</v>
      </c>
      <c r="P91" s="114">
        <v>18</v>
      </c>
      <c r="Q91" s="131">
        <f t="shared" si="101"/>
        <v>58</v>
      </c>
      <c r="R91" s="59">
        <v>1</v>
      </c>
      <c r="S91" s="55" t="str">
        <f t="shared" ref="S91:S93" si="123">IF(AND(E91&gt;0,Q91=0),"¡¡Ojo No se Ejecutaron Actividades!!",IF(R91="","",IF(R91&lt;8.99%,"Se ha avanzado muy poco o nada en este indicador",IF(R91&lt;=19.99%,"Nivel Aceptable del Indicador",IF(R91&lt;=24.99%,"Nivel del indicador que cumple las expectativas","Nivel del indicador que satisface y supera las expectativas")))))</f>
        <v>Nivel del indicador que satisface y supera las expectativas</v>
      </c>
      <c r="T91" s="177">
        <v>18</v>
      </c>
      <c r="U91" s="177">
        <v>15</v>
      </c>
      <c r="V91" s="177">
        <v>9</v>
      </c>
      <c r="W91" s="56">
        <f t="shared" si="72"/>
        <v>100</v>
      </c>
      <c r="X91" s="59">
        <v>1</v>
      </c>
      <c r="Y91" s="55" t="str">
        <f t="shared" ref="Y91:Y93" si="124">IF(AND(E91&gt;0,W91=0),"¡¡Ojo No se Ejecutaron Actividades!!",IF(X91="","",IF(X91&lt;15.99%,"Se ha avanzado muy poco o nada en este indicador",IF(X91&lt;=36.99%,"Nivel Aceptable del Indicador",IF(X91&lt;=49.99%,"Nivel del indicador que cumple las expectativas","Nivel del indicador que satisface y supera las expectativas")))))</f>
        <v>Nivel del indicador que satisface y supera las expectativas</v>
      </c>
      <c r="Z91" s="57"/>
      <c r="AA91" s="57"/>
      <c r="AB91" s="214">
        <v>100</v>
      </c>
      <c r="AC91" s="56">
        <f t="shared" si="100"/>
        <v>100</v>
      </c>
      <c r="AD91" s="59">
        <f t="shared" ref="AD91" si="125">IFERROR((IF(AC91&gt;0,AC91/K91,"")),0)</f>
        <v>0.78431372549019607</v>
      </c>
      <c r="AE91" s="55" t="str">
        <f t="shared" ref="AE91:AE93" si="126">IF(AND(E91&gt;0,AC91=0),"¡¡Ojo No se Ejecutaron Actividades!!",IF(AD91="","",IF(AD91&lt;24.99%,"Se ha avanzado muy poco o nada en este indicador",IF(AD91&lt;=55.99%,"Nivel Aceptable del Indicador",IF(AD91&lt;=74.99%,"Nivel del indicador que cumple las expectativas","Nivel del indicador que satisface y supera las expectativas")))))</f>
        <v>Nivel del indicador que satisface y supera las expectativas</v>
      </c>
      <c r="AF91" s="57"/>
      <c r="AG91" s="57"/>
      <c r="AH91" s="57"/>
      <c r="AI91" s="238">
        <f t="shared" si="73"/>
        <v>100</v>
      </c>
      <c r="AJ91" s="59">
        <f t="shared" ref="AJ91:AJ93" si="127">IFERROR((IF(AI91&gt;0,AI91/E91,"")),0)</f>
        <v>0.58823529411764708</v>
      </c>
      <c r="AK91" s="55" t="str">
        <f t="shared" ref="AK91:AK93" si="128">IF(AND(E91&gt;0,AI91=0),"¡¡Ojo No se Ejecutaron Actividades!!",IF(AJ91="","",IF(AJ91&lt;33.99%,"Se ha avanzado muy poco o nada en este indicador",IF(AJ91&lt;=75.99%,"Nivel Aceptable del Indicador",IF(AJ91&lt;=98.99%,"Nivel del indicador que cumple las expectativas","Nivel del indicador que satisface y supera las expectativas")))))</f>
        <v>Nivel Aceptable del Indicador</v>
      </c>
      <c r="AP91" s="52"/>
      <c r="AQ91" s="52"/>
      <c r="AR91" s="52"/>
      <c r="AS91" s="79"/>
      <c r="AT91" s="79"/>
      <c r="AU91" s="52"/>
      <c r="AV91" s="77"/>
      <c r="AW91" s="79"/>
      <c r="AX91" s="79"/>
      <c r="AY91" s="52"/>
      <c r="AZ91" s="77"/>
      <c r="BA91" s="79"/>
      <c r="BB91" s="79"/>
      <c r="BC91" s="52"/>
      <c r="BD91" s="77"/>
      <c r="BE91" s="79"/>
      <c r="BF91" s="79"/>
    </row>
    <row r="92" spans="1:60" ht="37.5" customHeight="1" x14ac:dyDescent="0.25">
      <c r="A92" s="131" t="s">
        <v>421</v>
      </c>
      <c r="B92" s="57" t="s">
        <v>422</v>
      </c>
      <c r="C92" s="58" t="s">
        <v>423</v>
      </c>
      <c r="D92" s="106" t="s">
        <v>545</v>
      </c>
      <c r="E92" s="105">
        <v>224</v>
      </c>
      <c r="F92" s="206">
        <v>0.25</v>
      </c>
      <c r="G92" s="206">
        <f t="shared" si="68"/>
        <v>56</v>
      </c>
      <c r="H92" s="206">
        <v>2</v>
      </c>
      <c r="I92" s="206">
        <f t="shared" si="69"/>
        <v>112</v>
      </c>
      <c r="J92" s="206">
        <v>0.75</v>
      </c>
      <c r="K92" s="206">
        <f t="shared" si="70"/>
        <v>168</v>
      </c>
      <c r="L92" s="206">
        <v>1</v>
      </c>
      <c r="M92" s="206">
        <f t="shared" si="71"/>
        <v>224</v>
      </c>
      <c r="N92" s="114">
        <v>2</v>
      </c>
      <c r="O92" s="114">
        <v>72</v>
      </c>
      <c r="P92" s="114">
        <v>14</v>
      </c>
      <c r="Q92" s="131">
        <f t="shared" si="101"/>
        <v>88</v>
      </c>
      <c r="R92" s="59">
        <v>1</v>
      </c>
      <c r="S92" s="55" t="str">
        <f t="shared" si="123"/>
        <v>Nivel del indicador que satisface y supera las expectativas</v>
      </c>
      <c r="T92" s="177">
        <v>30</v>
      </c>
      <c r="U92" s="177">
        <v>43</v>
      </c>
      <c r="V92" s="177">
        <v>2</v>
      </c>
      <c r="W92" s="56">
        <f t="shared" si="72"/>
        <v>163</v>
      </c>
      <c r="X92" s="59">
        <v>1</v>
      </c>
      <c r="Y92" s="55" t="str">
        <f t="shared" si="124"/>
        <v>Nivel del indicador que satisface y supera las expectativas</v>
      </c>
      <c r="Z92" s="57"/>
      <c r="AA92" s="57"/>
      <c r="AB92" s="57">
        <v>194</v>
      </c>
      <c r="AC92" s="56">
        <f t="shared" si="100"/>
        <v>194</v>
      </c>
      <c r="AD92" s="59">
        <v>1</v>
      </c>
      <c r="AE92" s="55" t="str">
        <f t="shared" si="126"/>
        <v>Nivel del indicador que satisface y supera las expectativas</v>
      </c>
      <c r="AF92" s="57"/>
      <c r="AG92" s="57"/>
      <c r="AH92" s="57"/>
      <c r="AI92" s="56">
        <f t="shared" si="73"/>
        <v>194</v>
      </c>
      <c r="AJ92" s="59">
        <f t="shared" si="127"/>
        <v>0.8660714285714286</v>
      </c>
      <c r="AK92" s="55" t="str">
        <f t="shared" si="128"/>
        <v>Nivel del indicador que cumple las expectativas</v>
      </c>
      <c r="AP92" s="52"/>
      <c r="AQ92" s="52"/>
      <c r="AR92" s="52"/>
      <c r="AS92" s="79"/>
      <c r="AT92" s="79"/>
      <c r="AU92" s="52"/>
      <c r="AV92" s="77"/>
      <c r="AW92" s="79"/>
      <c r="AX92" s="79"/>
      <c r="AY92" s="52"/>
      <c r="AZ92" s="77"/>
      <c r="BA92" s="79"/>
      <c r="BB92" s="79"/>
      <c r="BC92" s="52"/>
      <c r="BD92" s="77"/>
      <c r="BE92" s="79"/>
      <c r="BF92" s="79"/>
    </row>
    <row r="93" spans="1:60" ht="21.75" customHeight="1" x14ac:dyDescent="0.25">
      <c r="A93" s="292" t="s">
        <v>424</v>
      </c>
      <c r="B93" s="292" t="s">
        <v>425</v>
      </c>
      <c r="C93" s="295" t="s">
        <v>426</v>
      </c>
      <c r="D93" s="106" t="s">
        <v>571</v>
      </c>
      <c r="E93" s="105">
        <v>225</v>
      </c>
      <c r="F93" s="206">
        <v>0.25</v>
      </c>
      <c r="G93" s="206">
        <f t="shared" si="68"/>
        <v>56.25</v>
      </c>
      <c r="H93" s="206">
        <v>2</v>
      </c>
      <c r="I93" s="206">
        <f t="shared" si="69"/>
        <v>112.5</v>
      </c>
      <c r="J93" s="206">
        <v>0.75</v>
      </c>
      <c r="K93" s="206">
        <f t="shared" si="70"/>
        <v>168.75</v>
      </c>
      <c r="L93" s="206">
        <v>1</v>
      </c>
      <c r="M93" s="206">
        <f t="shared" si="71"/>
        <v>225</v>
      </c>
      <c r="N93" s="114">
        <v>10</v>
      </c>
      <c r="O93" s="114">
        <v>42</v>
      </c>
      <c r="P93" s="114">
        <v>36</v>
      </c>
      <c r="Q93" s="131">
        <f t="shared" si="101"/>
        <v>88</v>
      </c>
      <c r="R93" s="59">
        <v>1</v>
      </c>
      <c r="S93" s="55" t="str">
        <f t="shared" si="123"/>
        <v>Nivel del indicador que satisface y supera las expectativas</v>
      </c>
      <c r="T93" s="177">
        <v>52</v>
      </c>
      <c r="U93" s="177">
        <v>71</v>
      </c>
      <c r="V93" s="177">
        <v>25</v>
      </c>
      <c r="W93" s="56">
        <f t="shared" si="72"/>
        <v>236</v>
      </c>
      <c r="X93" s="59">
        <v>1</v>
      </c>
      <c r="Y93" s="55" t="str">
        <f t="shared" si="124"/>
        <v>Nivel del indicador que satisface y supera las expectativas</v>
      </c>
      <c r="Z93" s="57"/>
      <c r="AA93" s="57"/>
      <c r="AB93" s="57">
        <v>280</v>
      </c>
      <c r="AC93" s="56">
        <f t="shared" ref="AC93" si="129">Z93+AA93+AB93</f>
        <v>280</v>
      </c>
      <c r="AD93" s="59">
        <v>1</v>
      </c>
      <c r="AE93" s="55" t="str">
        <f t="shared" si="126"/>
        <v>Nivel del indicador que satisface y supera las expectativas</v>
      </c>
      <c r="AF93" s="57"/>
      <c r="AG93" s="57"/>
      <c r="AH93" s="57"/>
      <c r="AI93" s="56">
        <f t="shared" si="73"/>
        <v>280</v>
      </c>
      <c r="AJ93" s="59">
        <f t="shared" si="127"/>
        <v>1.2444444444444445</v>
      </c>
      <c r="AK93" s="55" t="str">
        <f t="shared" si="128"/>
        <v>Nivel del indicador que satisface y supera las expectativas</v>
      </c>
      <c r="AP93" s="52"/>
      <c r="AQ93" s="52"/>
      <c r="AR93" s="52"/>
      <c r="AS93" s="79"/>
      <c r="AT93" s="79"/>
      <c r="AU93" s="52"/>
      <c r="AV93" s="77"/>
      <c r="AW93" s="79"/>
      <c r="AX93" s="79"/>
      <c r="AY93" s="52"/>
      <c r="AZ93" s="77"/>
      <c r="BA93" s="79"/>
      <c r="BB93" s="79"/>
      <c r="BC93" s="52"/>
      <c r="BD93" s="77"/>
      <c r="BE93" s="79"/>
      <c r="BF93" s="79"/>
    </row>
    <row r="94" spans="1:60" ht="30" customHeight="1" x14ac:dyDescent="0.25">
      <c r="A94" s="293"/>
      <c r="B94" s="293"/>
      <c r="C94" s="296"/>
      <c r="D94" s="106" t="s">
        <v>572</v>
      </c>
      <c r="E94" s="105">
        <v>16</v>
      </c>
      <c r="F94" s="206">
        <v>0.25</v>
      </c>
      <c r="G94" s="206">
        <f t="shared" si="68"/>
        <v>4</v>
      </c>
      <c r="H94" s="206">
        <v>2</v>
      </c>
      <c r="I94" s="206">
        <f t="shared" si="69"/>
        <v>8</v>
      </c>
      <c r="J94" s="206">
        <v>0.75</v>
      </c>
      <c r="K94" s="206">
        <f t="shared" si="70"/>
        <v>12</v>
      </c>
      <c r="L94" s="206">
        <v>1</v>
      </c>
      <c r="M94" s="206">
        <f t="shared" si="71"/>
        <v>16</v>
      </c>
      <c r="N94" s="114">
        <v>0</v>
      </c>
      <c r="O94" s="114">
        <v>14</v>
      </c>
      <c r="P94" s="114">
        <v>0</v>
      </c>
      <c r="Q94" s="57">
        <f t="shared" si="101"/>
        <v>14</v>
      </c>
      <c r="R94" s="59">
        <v>1</v>
      </c>
      <c r="S94" s="55" t="str">
        <f t="shared" si="62"/>
        <v>Nivel del indicador que satisface y supera las expectativas</v>
      </c>
      <c r="T94" s="177">
        <v>0</v>
      </c>
      <c r="U94" s="177">
        <v>0</v>
      </c>
      <c r="V94" s="177">
        <v>13</v>
      </c>
      <c r="W94" s="56">
        <f t="shared" si="72"/>
        <v>27</v>
      </c>
      <c r="X94" s="59">
        <v>1</v>
      </c>
      <c r="Y94" s="55" t="str">
        <f t="shared" si="102"/>
        <v>Nivel del indicador que satisface y supera las expectativas</v>
      </c>
      <c r="Z94" s="57"/>
      <c r="AA94" s="57"/>
      <c r="AB94" s="57">
        <v>13</v>
      </c>
      <c r="AC94" s="56">
        <f t="shared" ref="AC94:AC103" si="130">Z94+AA94+AB94</f>
        <v>13</v>
      </c>
      <c r="AD94" s="59">
        <v>1</v>
      </c>
      <c r="AE94" s="55" t="str">
        <f t="shared" si="103"/>
        <v>Nivel del indicador que satisface y supera las expectativas</v>
      </c>
      <c r="AF94" s="57"/>
      <c r="AG94" s="57"/>
      <c r="AH94" s="57"/>
      <c r="AI94" s="56">
        <f t="shared" si="73"/>
        <v>13</v>
      </c>
      <c r="AJ94" s="59">
        <f t="shared" si="104"/>
        <v>0.8125</v>
      </c>
      <c r="AK94" s="55" t="str">
        <f t="shared" si="105"/>
        <v>Nivel del indicador que cumple las expectativas</v>
      </c>
      <c r="AP94" s="52">
        <f t="shared" si="106"/>
        <v>16</v>
      </c>
      <c r="AQ94" s="52">
        <f t="shared" si="107"/>
        <v>4</v>
      </c>
      <c r="AR94" s="52">
        <f t="shared" si="108"/>
        <v>14</v>
      </c>
      <c r="AS94" s="79">
        <f t="shared" si="109"/>
        <v>3.5</v>
      </c>
      <c r="AT94" s="79">
        <f t="shared" si="110"/>
        <v>0.875</v>
      </c>
      <c r="AU94" s="52">
        <f t="shared" si="111"/>
        <v>8</v>
      </c>
      <c r="AV94" s="77">
        <f t="shared" si="112"/>
        <v>27.875</v>
      </c>
      <c r="AW94" s="79">
        <f t="shared" si="113"/>
        <v>3.484375</v>
      </c>
      <c r="AX94" s="79">
        <f t="shared" si="114"/>
        <v>1.7421875</v>
      </c>
      <c r="AY94" s="52">
        <f t="shared" si="115"/>
        <v>12</v>
      </c>
      <c r="AZ94" s="77">
        <f t="shared" si="116"/>
        <v>40.875</v>
      </c>
      <c r="BA94" s="79">
        <f t="shared" si="117"/>
        <v>3.40625</v>
      </c>
      <c r="BB94" s="79">
        <f t="shared" si="118"/>
        <v>2.5546875</v>
      </c>
      <c r="BC94" s="52">
        <f t="shared" si="119"/>
        <v>16</v>
      </c>
      <c r="BD94" s="77">
        <f t="shared" si="120"/>
        <v>53.875</v>
      </c>
      <c r="BE94" s="79">
        <f t="shared" si="121"/>
        <v>3.3671875</v>
      </c>
      <c r="BF94" s="79">
        <f t="shared" si="122"/>
        <v>3.3671875</v>
      </c>
    </row>
    <row r="95" spans="1:60" ht="27" customHeight="1" x14ac:dyDescent="0.25">
      <c r="A95" s="294"/>
      <c r="B95" s="294"/>
      <c r="C95" s="297"/>
      <c r="D95" s="106" t="s">
        <v>573</v>
      </c>
      <c r="E95" s="105">
        <v>16</v>
      </c>
      <c r="F95" s="206">
        <v>0.25</v>
      </c>
      <c r="G95" s="206">
        <f t="shared" si="68"/>
        <v>4</v>
      </c>
      <c r="H95" s="206">
        <v>2</v>
      </c>
      <c r="I95" s="206">
        <f t="shared" si="69"/>
        <v>8</v>
      </c>
      <c r="J95" s="206">
        <v>0.75</v>
      </c>
      <c r="K95" s="206">
        <f t="shared" si="70"/>
        <v>12</v>
      </c>
      <c r="L95" s="206">
        <v>1</v>
      </c>
      <c r="M95" s="206">
        <f t="shared" si="71"/>
        <v>16</v>
      </c>
      <c r="N95" s="114">
        <v>0</v>
      </c>
      <c r="O95" s="114">
        <v>13</v>
      </c>
      <c r="P95" s="114">
        <v>0</v>
      </c>
      <c r="Q95" s="57">
        <f t="shared" si="101"/>
        <v>13</v>
      </c>
      <c r="R95" s="59">
        <v>1</v>
      </c>
      <c r="S95" s="55" t="str">
        <f t="shared" si="62"/>
        <v>Nivel del indicador que satisface y supera las expectativas</v>
      </c>
      <c r="T95" s="177">
        <v>0</v>
      </c>
      <c r="U95" s="177">
        <v>0</v>
      </c>
      <c r="V95" s="177">
        <v>12</v>
      </c>
      <c r="W95" s="56">
        <f t="shared" si="72"/>
        <v>25</v>
      </c>
      <c r="X95" s="59">
        <v>1</v>
      </c>
      <c r="Y95" s="55" t="str">
        <f t="shared" si="102"/>
        <v>Nivel del indicador que satisface y supera las expectativas</v>
      </c>
      <c r="Z95" s="57"/>
      <c r="AA95" s="57"/>
      <c r="AB95" s="57">
        <v>12</v>
      </c>
      <c r="AC95" s="56">
        <f t="shared" si="130"/>
        <v>12</v>
      </c>
      <c r="AD95" s="59">
        <f t="shared" si="98"/>
        <v>1</v>
      </c>
      <c r="AE95" s="55" t="str">
        <f t="shared" si="103"/>
        <v>Nivel del indicador que satisface y supera las expectativas</v>
      </c>
      <c r="AF95" s="57"/>
      <c r="AG95" s="57"/>
      <c r="AH95" s="57"/>
      <c r="AI95" s="238">
        <f t="shared" si="73"/>
        <v>12</v>
      </c>
      <c r="AJ95" s="59">
        <f t="shared" si="104"/>
        <v>0.75</v>
      </c>
      <c r="AK95" s="55" t="str">
        <f t="shared" si="105"/>
        <v>Nivel Aceptable del Indicador</v>
      </c>
      <c r="AP95" s="52">
        <f t="shared" si="106"/>
        <v>16</v>
      </c>
      <c r="AQ95" s="52">
        <f t="shared" si="107"/>
        <v>4</v>
      </c>
      <c r="AR95" s="52">
        <f t="shared" si="108"/>
        <v>13</v>
      </c>
      <c r="AS95" s="79">
        <f t="shared" si="109"/>
        <v>3.25</v>
      </c>
      <c r="AT95" s="79">
        <f t="shared" si="110"/>
        <v>0.8125</v>
      </c>
      <c r="AU95" s="52">
        <f t="shared" si="111"/>
        <v>8</v>
      </c>
      <c r="AV95" s="77">
        <f t="shared" si="112"/>
        <v>25.8125</v>
      </c>
      <c r="AW95" s="79">
        <f t="shared" si="113"/>
        <v>3.2265625</v>
      </c>
      <c r="AX95" s="79">
        <f t="shared" si="114"/>
        <v>1.61328125</v>
      </c>
      <c r="AY95" s="52">
        <f t="shared" si="115"/>
        <v>12</v>
      </c>
      <c r="AZ95" s="77">
        <f t="shared" si="116"/>
        <v>37.8125</v>
      </c>
      <c r="BA95" s="79">
        <f t="shared" si="117"/>
        <v>3.1510416666666665</v>
      </c>
      <c r="BB95" s="79">
        <f t="shared" si="118"/>
        <v>2.36328125</v>
      </c>
      <c r="BC95" s="52">
        <f t="shared" si="119"/>
        <v>16</v>
      </c>
      <c r="BD95" s="77">
        <f t="shared" si="120"/>
        <v>49.8125</v>
      </c>
      <c r="BE95" s="79">
        <f t="shared" si="121"/>
        <v>3.11328125</v>
      </c>
      <c r="BF95" s="79">
        <f t="shared" si="122"/>
        <v>3.11328125</v>
      </c>
    </row>
    <row r="96" spans="1:60" ht="30" x14ac:dyDescent="0.25">
      <c r="A96" s="292" t="s">
        <v>427</v>
      </c>
      <c r="B96" s="57" t="s">
        <v>428</v>
      </c>
      <c r="C96" s="58" t="s">
        <v>429</v>
      </c>
      <c r="D96" s="58" t="s">
        <v>545</v>
      </c>
      <c r="E96" s="84">
        <v>20</v>
      </c>
      <c r="F96" s="206">
        <v>0.25</v>
      </c>
      <c r="G96" s="206">
        <f t="shared" si="68"/>
        <v>5</v>
      </c>
      <c r="H96" s="206">
        <v>2</v>
      </c>
      <c r="I96" s="206">
        <f t="shared" si="69"/>
        <v>10</v>
      </c>
      <c r="J96" s="206">
        <v>0.75</v>
      </c>
      <c r="K96" s="206">
        <f t="shared" si="70"/>
        <v>15</v>
      </c>
      <c r="L96" s="206">
        <v>1</v>
      </c>
      <c r="M96" s="206">
        <f t="shared" si="71"/>
        <v>20</v>
      </c>
      <c r="N96" s="114">
        <v>0</v>
      </c>
      <c r="O96" s="114">
        <v>0</v>
      </c>
      <c r="P96" s="193">
        <v>1E-4</v>
      </c>
      <c r="Q96" s="193">
        <f t="shared" si="101"/>
        <v>1E-4</v>
      </c>
      <c r="R96" s="59">
        <f t="shared" si="74"/>
        <v>2.0000000000000002E-5</v>
      </c>
      <c r="S96" s="55" t="str">
        <f t="shared" si="62"/>
        <v>Se ha avanzado muy poco o nada en este indicador</v>
      </c>
      <c r="T96" s="177">
        <v>0</v>
      </c>
      <c r="U96" s="177">
        <v>0</v>
      </c>
      <c r="V96" s="177">
        <v>0</v>
      </c>
      <c r="W96" s="56">
        <f t="shared" si="72"/>
        <v>1E-4</v>
      </c>
      <c r="X96" s="59">
        <f t="shared" si="99"/>
        <v>1.0000000000000001E-5</v>
      </c>
      <c r="Y96" s="55" t="str">
        <f t="shared" si="102"/>
        <v>Se ha avanzado muy poco o nada en este indicador</v>
      </c>
      <c r="Z96" s="57"/>
      <c r="AA96" s="57"/>
      <c r="AB96" s="57">
        <v>8</v>
      </c>
      <c r="AC96" s="56">
        <f t="shared" si="130"/>
        <v>8</v>
      </c>
      <c r="AD96" s="59">
        <f t="shared" si="98"/>
        <v>0.53333333333333333</v>
      </c>
      <c r="AE96" s="55" t="str">
        <f t="shared" si="103"/>
        <v>Nivel Aceptable del Indicador</v>
      </c>
      <c r="AF96" s="57"/>
      <c r="AG96" s="57"/>
      <c r="AH96" s="57"/>
      <c r="AI96" s="238">
        <f t="shared" si="73"/>
        <v>8</v>
      </c>
      <c r="AJ96" s="59">
        <f t="shared" si="104"/>
        <v>0.4</v>
      </c>
      <c r="AK96" s="55" t="str">
        <f t="shared" si="105"/>
        <v>Nivel Aceptable del Indicador</v>
      </c>
      <c r="AP96" s="52">
        <f t="shared" si="106"/>
        <v>20</v>
      </c>
      <c r="AQ96" s="52">
        <f t="shared" si="107"/>
        <v>5</v>
      </c>
      <c r="AR96" s="52">
        <f t="shared" si="108"/>
        <v>1E-4</v>
      </c>
      <c r="AS96" s="79">
        <f t="shared" si="109"/>
        <v>2.0000000000000002E-5</v>
      </c>
      <c r="AT96" s="79">
        <f t="shared" si="110"/>
        <v>5.0000000000000004E-6</v>
      </c>
      <c r="AU96" s="52">
        <f t="shared" si="111"/>
        <v>10</v>
      </c>
      <c r="AV96" s="77">
        <f t="shared" si="112"/>
        <v>1.05E-4</v>
      </c>
      <c r="AW96" s="79">
        <f t="shared" si="113"/>
        <v>1.0500000000000001E-5</v>
      </c>
      <c r="AX96" s="79">
        <f t="shared" si="114"/>
        <v>5.2500000000000006E-6</v>
      </c>
      <c r="AY96" s="52">
        <f t="shared" si="115"/>
        <v>15</v>
      </c>
      <c r="AZ96" s="77">
        <f t="shared" si="116"/>
        <v>8.0001049999999996</v>
      </c>
      <c r="BA96" s="79">
        <f t="shared" si="117"/>
        <v>0.53334033333333331</v>
      </c>
      <c r="BB96" s="79">
        <f t="shared" si="118"/>
        <v>0.40000525000000003</v>
      </c>
      <c r="BC96" s="52">
        <f t="shared" si="119"/>
        <v>20</v>
      </c>
      <c r="BD96" s="77">
        <f t="shared" si="120"/>
        <v>16.000104999999998</v>
      </c>
      <c r="BE96" s="79">
        <f t="shared" si="121"/>
        <v>0.80000524999999989</v>
      </c>
      <c r="BF96" s="79">
        <f t="shared" si="122"/>
        <v>0.80000525</v>
      </c>
    </row>
    <row r="97" spans="1:60" ht="34.5" customHeight="1" x14ac:dyDescent="0.25">
      <c r="A97" s="294"/>
      <c r="B97" s="57" t="s">
        <v>430</v>
      </c>
      <c r="C97" s="58" t="s">
        <v>431</v>
      </c>
      <c r="D97" s="58" t="s">
        <v>545</v>
      </c>
      <c r="E97" s="84">
        <v>6</v>
      </c>
      <c r="F97" s="206">
        <v>0.25</v>
      </c>
      <c r="G97" s="206">
        <f t="shared" si="68"/>
        <v>1.5</v>
      </c>
      <c r="H97" s="206">
        <v>2</v>
      </c>
      <c r="I97" s="206">
        <f t="shared" si="69"/>
        <v>3</v>
      </c>
      <c r="J97" s="206">
        <v>0.75</v>
      </c>
      <c r="K97" s="206">
        <f t="shared" si="70"/>
        <v>4.5</v>
      </c>
      <c r="L97" s="206">
        <v>1</v>
      </c>
      <c r="M97" s="206">
        <f t="shared" si="71"/>
        <v>6</v>
      </c>
      <c r="N97" s="114">
        <v>0</v>
      </c>
      <c r="O97" s="114">
        <v>0</v>
      </c>
      <c r="P97" s="193">
        <v>1E-4</v>
      </c>
      <c r="Q97" s="193">
        <f t="shared" si="101"/>
        <v>1E-4</v>
      </c>
      <c r="R97" s="59">
        <f t="shared" si="74"/>
        <v>6.666666666666667E-5</v>
      </c>
      <c r="S97" s="55" t="str">
        <f t="shared" si="62"/>
        <v>Se ha avanzado muy poco o nada en este indicador</v>
      </c>
      <c r="T97" s="177">
        <v>0</v>
      </c>
      <c r="U97" s="177">
        <v>0</v>
      </c>
      <c r="V97" s="177">
        <v>0</v>
      </c>
      <c r="W97" s="56">
        <f t="shared" si="72"/>
        <v>1E-4</v>
      </c>
      <c r="X97" s="59">
        <f t="shared" si="99"/>
        <v>3.3333333333333335E-5</v>
      </c>
      <c r="Y97" s="55" t="str">
        <f t="shared" si="102"/>
        <v>Se ha avanzado muy poco o nada en este indicador</v>
      </c>
      <c r="Z97" s="57"/>
      <c r="AA97" s="57"/>
      <c r="AB97" s="57">
        <v>2</v>
      </c>
      <c r="AC97" s="56">
        <f t="shared" si="130"/>
        <v>2</v>
      </c>
      <c r="AD97" s="59">
        <f t="shared" si="98"/>
        <v>0.44444444444444442</v>
      </c>
      <c r="AE97" s="55" t="str">
        <f t="shared" si="103"/>
        <v>Nivel Aceptable del Indicador</v>
      </c>
      <c r="AF97" s="57"/>
      <c r="AG97" s="57"/>
      <c r="AH97" s="57"/>
      <c r="AI97" s="238">
        <f t="shared" si="73"/>
        <v>2</v>
      </c>
      <c r="AJ97" s="59">
        <f t="shared" si="104"/>
        <v>0.33333333333333331</v>
      </c>
      <c r="AK97" s="55" t="str">
        <f t="shared" si="105"/>
        <v>Se ha avanzado muy poco o nada en este indicador</v>
      </c>
      <c r="AP97" s="52">
        <f t="shared" si="106"/>
        <v>6</v>
      </c>
      <c r="AQ97" s="52">
        <f t="shared" si="107"/>
        <v>1.5</v>
      </c>
      <c r="AR97" s="52">
        <f t="shared" si="108"/>
        <v>1E-4</v>
      </c>
      <c r="AS97" s="79">
        <f t="shared" si="109"/>
        <v>6.666666666666667E-5</v>
      </c>
      <c r="AT97" s="79">
        <f t="shared" si="110"/>
        <v>1.6666666666666667E-5</v>
      </c>
      <c r="AU97" s="52">
        <f t="shared" si="111"/>
        <v>3</v>
      </c>
      <c r="AV97" s="77">
        <f t="shared" si="112"/>
        <v>1.1666666666666667E-4</v>
      </c>
      <c r="AW97" s="79">
        <f t="shared" si="113"/>
        <v>3.8888888888888891E-5</v>
      </c>
      <c r="AX97" s="79">
        <f t="shared" si="114"/>
        <v>1.9444444444444445E-5</v>
      </c>
      <c r="AY97" s="52">
        <f t="shared" si="115"/>
        <v>4.5</v>
      </c>
      <c r="AZ97" s="77">
        <f t="shared" si="116"/>
        <v>2.0001166666666665</v>
      </c>
      <c r="BA97" s="79">
        <f t="shared" si="117"/>
        <v>0.44447037037037035</v>
      </c>
      <c r="BB97" s="79">
        <f t="shared" si="118"/>
        <v>0.33335277777777778</v>
      </c>
      <c r="BC97" s="52">
        <f t="shared" si="119"/>
        <v>6</v>
      </c>
      <c r="BD97" s="77">
        <f t="shared" si="120"/>
        <v>4.000116666666667</v>
      </c>
      <c r="BE97" s="79">
        <f t="shared" si="121"/>
        <v>0.6666861111111112</v>
      </c>
      <c r="BF97" s="79">
        <f t="shared" si="122"/>
        <v>0.6666861111111112</v>
      </c>
    </row>
    <row r="98" spans="1:60" ht="25.5" x14ac:dyDescent="0.25">
      <c r="A98" s="292" t="s">
        <v>432</v>
      </c>
      <c r="B98" s="57" t="s">
        <v>433</v>
      </c>
      <c r="C98" s="58" t="s">
        <v>434</v>
      </c>
      <c r="D98" s="58" t="s">
        <v>546</v>
      </c>
      <c r="E98" s="84">
        <v>673540</v>
      </c>
      <c r="F98" s="206">
        <v>0.25</v>
      </c>
      <c r="G98" s="206">
        <f t="shared" si="68"/>
        <v>168385</v>
      </c>
      <c r="H98" s="206">
        <v>2</v>
      </c>
      <c r="I98" s="206">
        <f t="shared" si="69"/>
        <v>336770</v>
      </c>
      <c r="J98" s="206">
        <v>0.75</v>
      </c>
      <c r="K98" s="206">
        <f t="shared" si="70"/>
        <v>505155</v>
      </c>
      <c r="L98" s="206">
        <v>1</v>
      </c>
      <c r="M98" s="206">
        <f t="shared" si="71"/>
        <v>673540</v>
      </c>
      <c r="N98" s="114">
        <v>0</v>
      </c>
      <c r="O98" s="115">
        <v>57359</v>
      </c>
      <c r="P98" s="115">
        <v>57326</v>
      </c>
      <c r="Q98" s="57">
        <f t="shared" si="101"/>
        <v>114685</v>
      </c>
      <c r="R98" s="59">
        <f t="shared" si="74"/>
        <v>0.68108798289633876</v>
      </c>
      <c r="S98" s="55" t="str">
        <f t="shared" si="62"/>
        <v>Nivel del indicador que satisface y supera las expectativas</v>
      </c>
      <c r="T98" s="178">
        <v>82345</v>
      </c>
      <c r="U98" s="178">
        <v>71663</v>
      </c>
      <c r="V98" s="178">
        <v>54206</v>
      </c>
      <c r="W98" s="56">
        <f t="shared" si="72"/>
        <v>322899</v>
      </c>
      <c r="X98" s="59">
        <f t="shared" si="99"/>
        <v>0.95881165186922823</v>
      </c>
      <c r="Y98" s="55" t="str">
        <f t="shared" si="102"/>
        <v>Nivel del indicador que satisface y supera las expectativas</v>
      </c>
      <c r="Z98" s="57"/>
      <c r="AA98" s="57"/>
      <c r="AB98" s="57">
        <v>438714</v>
      </c>
      <c r="AC98" s="56">
        <f t="shared" si="130"/>
        <v>438714</v>
      </c>
      <c r="AD98" s="59">
        <f t="shared" si="98"/>
        <v>0.86847403272262969</v>
      </c>
      <c r="AE98" s="55" t="str">
        <f t="shared" si="103"/>
        <v>Nivel del indicador que satisface y supera las expectativas</v>
      </c>
      <c r="AF98" s="57"/>
      <c r="AG98" s="57"/>
      <c r="AH98" s="57"/>
      <c r="AI98" s="238">
        <f t="shared" si="73"/>
        <v>438714</v>
      </c>
      <c r="AJ98" s="59">
        <f t="shared" si="104"/>
        <v>0.65135552454197232</v>
      </c>
      <c r="AK98" s="55" t="str">
        <f t="shared" si="105"/>
        <v>Nivel Aceptable del Indicador</v>
      </c>
      <c r="AP98" s="52">
        <f t="shared" si="106"/>
        <v>673540</v>
      </c>
      <c r="AQ98" s="52">
        <f t="shared" si="107"/>
        <v>168385</v>
      </c>
      <c r="AR98" s="52">
        <f t="shared" si="108"/>
        <v>114685</v>
      </c>
      <c r="AS98" s="79">
        <f t="shared" si="109"/>
        <v>0.68108798289633876</v>
      </c>
      <c r="AT98" s="79">
        <f t="shared" si="110"/>
        <v>0.17027199572408469</v>
      </c>
      <c r="AU98" s="52">
        <f t="shared" si="111"/>
        <v>336770</v>
      </c>
      <c r="AV98" s="77">
        <f t="shared" si="112"/>
        <v>322899.17027199571</v>
      </c>
      <c r="AW98" s="79">
        <f t="shared" si="113"/>
        <v>0.95881215747244619</v>
      </c>
      <c r="AX98" s="79">
        <f t="shared" si="114"/>
        <v>0.4794060787362231</v>
      </c>
      <c r="AY98" s="52">
        <f t="shared" si="115"/>
        <v>505155</v>
      </c>
      <c r="AZ98" s="77">
        <f t="shared" si="116"/>
        <v>761613.17027199571</v>
      </c>
      <c r="BA98" s="79">
        <f t="shared" si="117"/>
        <v>1.5076821377042604</v>
      </c>
      <c r="BB98" s="79">
        <f t="shared" si="118"/>
        <v>1.1307616032781953</v>
      </c>
      <c r="BC98" s="52">
        <f t="shared" si="119"/>
        <v>673540</v>
      </c>
      <c r="BD98" s="77">
        <f t="shared" si="120"/>
        <v>1200327.1702719957</v>
      </c>
      <c r="BE98" s="79">
        <f t="shared" si="121"/>
        <v>1.7821171278201677</v>
      </c>
      <c r="BF98" s="79">
        <f t="shared" si="122"/>
        <v>1.7821171278201675</v>
      </c>
    </row>
    <row r="99" spans="1:60" ht="30" x14ac:dyDescent="0.25">
      <c r="A99" s="294"/>
      <c r="B99" s="57" t="s">
        <v>435</v>
      </c>
      <c r="C99" s="58" t="s">
        <v>436</v>
      </c>
      <c r="D99" s="58" t="s">
        <v>544</v>
      </c>
      <c r="E99" s="84">
        <v>450</v>
      </c>
      <c r="F99" s="206">
        <v>0.25</v>
      </c>
      <c r="G99" s="206">
        <f t="shared" si="68"/>
        <v>112.5</v>
      </c>
      <c r="H99" s="206">
        <v>2</v>
      </c>
      <c r="I99" s="206">
        <f t="shared" si="69"/>
        <v>225</v>
      </c>
      <c r="J99" s="206">
        <v>0.75</v>
      </c>
      <c r="K99" s="206">
        <f t="shared" si="70"/>
        <v>337.5</v>
      </c>
      <c r="L99" s="206">
        <v>1</v>
      </c>
      <c r="M99" s="206">
        <f t="shared" si="71"/>
        <v>450</v>
      </c>
      <c r="N99" s="114">
        <v>430</v>
      </c>
      <c r="O99" s="114">
        <v>133</v>
      </c>
      <c r="P99" s="114">
        <v>67</v>
      </c>
      <c r="Q99" s="57">
        <f t="shared" si="101"/>
        <v>630</v>
      </c>
      <c r="R99" s="59">
        <v>1</v>
      </c>
      <c r="S99" s="55" t="str">
        <f t="shared" si="62"/>
        <v>Nivel del indicador que satisface y supera las expectativas</v>
      </c>
      <c r="T99" s="177">
        <v>0</v>
      </c>
      <c r="U99" s="177">
        <v>24</v>
      </c>
      <c r="V99" s="177">
        <v>122</v>
      </c>
      <c r="W99" s="56">
        <f t="shared" si="72"/>
        <v>776</v>
      </c>
      <c r="X99" s="59">
        <v>1</v>
      </c>
      <c r="Y99" s="55" t="str">
        <f t="shared" si="102"/>
        <v>Nivel del indicador que satisface y supera las expectativas</v>
      </c>
      <c r="Z99" s="57"/>
      <c r="AA99" s="57"/>
      <c r="AB99" s="57">
        <v>393</v>
      </c>
      <c r="AC99" s="56">
        <f t="shared" si="130"/>
        <v>393</v>
      </c>
      <c r="AD99" s="59">
        <v>1</v>
      </c>
      <c r="AE99" s="55" t="str">
        <f t="shared" si="103"/>
        <v>Nivel del indicador que satisface y supera las expectativas</v>
      </c>
      <c r="AF99" s="57"/>
      <c r="AG99" s="57"/>
      <c r="AH99" s="57"/>
      <c r="AI99" s="56">
        <f t="shared" si="73"/>
        <v>393</v>
      </c>
      <c r="AJ99" s="59">
        <f t="shared" si="104"/>
        <v>0.87333333333333329</v>
      </c>
      <c r="AK99" s="55" t="str">
        <f t="shared" si="105"/>
        <v>Nivel del indicador que cumple las expectativas</v>
      </c>
      <c r="AP99" s="52">
        <f t="shared" si="106"/>
        <v>450</v>
      </c>
      <c r="AQ99" s="52">
        <f t="shared" si="107"/>
        <v>112.5</v>
      </c>
      <c r="AR99" s="52">
        <f t="shared" si="108"/>
        <v>630</v>
      </c>
      <c r="AS99" s="79">
        <f t="shared" si="109"/>
        <v>5.6</v>
      </c>
      <c r="AT99" s="79">
        <f t="shared" si="110"/>
        <v>1.4</v>
      </c>
      <c r="AU99" s="52">
        <f t="shared" si="111"/>
        <v>225</v>
      </c>
      <c r="AV99" s="77">
        <f t="shared" si="112"/>
        <v>777.4</v>
      </c>
      <c r="AW99" s="79">
        <f t="shared" si="113"/>
        <v>3.455111111111111</v>
      </c>
      <c r="AX99" s="79">
        <f t="shared" si="114"/>
        <v>1.7275555555555555</v>
      </c>
      <c r="AY99" s="52">
        <f t="shared" si="115"/>
        <v>337.5</v>
      </c>
      <c r="AZ99" s="77">
        <f t="shared" si="116"/>
        <v>1170.4000000000001</v>
      </c>
      <c r="BA99" s="79">
        <f t="shared" si="117"/>
        <v>3.4678518518518522</v>
      </c>
      <c r="BB99" s="79">
        <f t="shared" si="118"/>
        <v>2.600888888888889</v>
      </c>
      <c r="BC99" s="52">
        <f t="shared" si="119"/>
        <v>450</v>
      </c>
      <c r="BD99" s="77">
        <f t="shared" si="120"/>
        <v>1563.4</v>
      </c>
      <c r="BE99" s="79">
        <f t="shared" si="121"/>
        <v>3.4742222222222225</v>
      </c>
      <c r="BF99" s="79">
        <f t="shared" si="122"/>
        <v>3.4742222222222221</v>
      </c>
    </row>
    <row r="100" spans="1:60" ht="75" x14ac:dyDescent="0.25">
      <c r="A100" s="57" t="s">
        <v>437</v>
      </c>
      <c r="B100" s="57" t="s">
        <v>438</v>
      </c>
      <c r="C100" s="107" t="s">
        <v>439</v>
      </c>
      <c r="D100" s="58" t="s">
        <v>545</v>
      </c>
      <c r="E100" s="84">
        <v>5</v>
      </c>
      <c r="F100" s="206">
        <v>0.25</v>
      </c>
      <c r="G100" s="206">
        <f t="shared" si="68"/>
        <v>1.25</v>
      </c>
      <c r="H100" s="206">
        <v>2</v>
      </c>
      <c r="I100" s="206">
        <f t="shared" si="69"/>
        <v>2.5</v>
      </c>
      <c r="J100" s="206">
        <v>0.75</v>
      </c>
      <c r="K100" s="206">
        <f t="shared" si="70"/>
        <v>3.75</v>
      </c>
      <c r="L100" s="206">
        <v>1</v>
      </c>
      <c r="M100" s="206">
        <f t="shared" si="71"/>
        <v>5</v>
      </c>
      <c r="N100" s="114">
        <v>0</v>
      </c>
      <c r="O100" s="114">
        <v>0</v>
      </c>
      <c r="P100" s="193">
        <v>1E-4</v>
      </c>
      <c r="Q100" s="193">
        <f t="shared" si="101"/>
        <v>1E-4</v>
      </c>
      <c r="R100" s="59">
        <f t="shared" si="74"/>
        <v>8.0000000000000007E-5</v>
      </c>
      <c r="S100" s="55" t="str">
        <f t="shared" si="62"/>
        <v>Se ha avanzado muy poco o nada en este indicador</v>
      </c>
      <c r="T100" s="177">
        <v>0</v>
      </c>
      <c r="U100" s="177">
        <v>0</v>
      </c>
      <c r="V100" s="177">
        <v>0</v>
      </c>
      <c r="W100" s="56">
        <f t="shared" si="72"/>
        <v>1E-4</v>
      </c>
      <c r="X100" s="59">
        <f t="shared" si="99"/>
        <v>4.0000000000000003E-5</v>
      </c>
      <c r="Y100" s="55" t="str">
        <f t="shared" si="102"/>
        <v>Se ha avanzado muy poco o nada en este indicador</v>
      </c>
      <c r="Z100" s="57"/>
      <c r="AA100" s="57"/>
      <c r="AB100" s="57">
        <v>2</v>
      </c>
      <c r="AC100" s="56">
        <f t="shared" si="130"/>
        <v>2</v>
      </c>
      <c r="AD100" s="59">
        <f t="shared" si="98"/>
        <v>0.53333333333333333</v>
      </c>
      <c r="AE100" s="55" t="str">
        <f t="shared" si="103"/>
        <v>Nivel Aceptable del Indicador</v>
      </c>
      <c r="AF100" s="57"/>
      <c r="AG100" s="57"/>
      <c r="AH100" s="57"/>
      <c r="AI100" s="238">
        <f t="shared" si="73"/>
        <v>2</v>
      </c>
      <c r="AJ100" s="59">
        <f t="shared" si="104"/>
        <v>0.4</v>
      </c>
      <c r="AK100" s="55" t="str">
        <f t="shared" si="105"/>
        <v>Nivel Aceptable del Indicador</v>
      </c>
      <c r="AP100" s="52">
        <f t="shared" si="106"/>
        <v>5</v>
      </c>
      <c r="AQ100" s="52">
        <f t="shared" si="107"/>
        <v>1.25</v>
      </c>
      <c r="AR100" s="52">
        <f t="shared" si="108"/>
        <v>1E-4</v>
      </c>
      <c r="AS100" s="79">
        <f t="shared" si="109"/>
        <v>8.0000000000000007E-5</v>
      </c>
      <c r="AT100" s="79">
        <f t="shared" si="110"/>
        <v>2.0000000000000002E-5</v>
      </c>
      <c r="AU100" s="52">
        <f t="shared" si="111"/>
        <v>2.5</v>
      </c>
      <c r="AV100" s="77">
        <f t="shared" si="112"/>
        <v>1.2E-4</v>
      </c>
      <c r="AW100" s="79">
        <f t="shared" si="113"/>
        <v>4.8000000000000001E-5</v>
      </c>
      <c r="AX100" s="79">
        <f t="shared" si="114"/>
        <v>2.4000000000000001E-5</v>
      </c>
      <c r="AY100" s="52">
        <f t="shared" si="115"/>
        <v>3.75</v>
      </c>
      <c r="AZ100" s="77">
        <f t="shared" si="116"/>
        <v>2.0001199999999999</v>
      </c>
      <c r="BA100" s="79">
        <f t="shared" si="117"/>
        <v>0.53336533333333336</v>
      </c>
      <c r="BB100" s="79">
        <f t="shared" si="118"/>
        <v>0.40002399999999994</v>
      </c>
      <c r="BC100" s="52">
        <f t="shared" si="119"/>
        <v>5</v>
      </c>
      <c r="BD100" s="77">
        <f t="shared" si="120"/>
        <v>4.0001199999999999</v>
      </c>
      <c r="BE100" s="79">
        <f t="shared" si="121"/>
        <v>0.80002399999999996</v>
      </c>
      <c r="BF100" s="79">
        <f t="shared" si="122"/>
        <v>0.80002399999999996</v>
      </c>
    </row>
    <row r="101" spans="1:60" ht="25.5" x14ac:dyDescent="0.25">
      <c r="A101" s="292" t="s">
        <v>440</v>
      </c>
      <c r="B101" s="57" t="s">
        <v>441</v>
      </c>
      <c r="C101" s="58" t="s">
        <v>442</v>
      </c>
      <c r="D101" s="58" t="s">
        <v>544</v>
      </c>
      <c r="E101" s="84">
        <v>2000</v>
      </c>
      <c r="F101" s="206">
        <v>0.25</v>
      </c>
      <c r="G101" s="206">
        <f t="shared" si="68"/>
        <v>500</v>
      </c>
      <c r="H101" s="206">
        <v>2</v>
      </c>
      <c r="I101" s="206">
        <f t="shared" si="69"/>
        <v>1000</v>
      </c>
      <c r="J101" s="206">
        <v>0.75</v>
      </c>
      <c r="K101" s="206">
        <f t="shared" si="70"/>
        <v>1500</v>
      </c>
      <c r="L101" s="206">
        <v>1</v>
      </c>
      <c r="M101" s="206">
        <f t="shared" si="71"/>
        <v>2000</v>
      </c>
      <c r="N101" s="114">
        <v>5</v>
      </c>
      <c r="O101" s="114">
        <v>219</v>
      </c>
      <c r="P101" s="114">
        <v>226</v>
      </c>
      <c r="Q101" s="193">
        <f t="shared" si="101"/>
        <v>450</v>
      </c>
      <c r="R101" s="59">
        <f t="shared" si="74"/>
        <v>0.9</v>
      </c>
      <c r="S101" s="55" t="str">
        <f t="shared" si="62"/>
        <v>Nivel del indicador que satisface y supera las expectativas</v>
      </c>
      <c r="T101" s="177">
        <v>304</v>
      </c>
      <c r="U101" s="177">
        <v>236</v>
      </c>
      <c r="V101" s="177">
        <v>61</v>
      </c>
      <c r="W101" s="56">
        <f t="shared" si="72"/>
        <v>1051</v>
      </c>
      <c r="X101" s="59">
        <v>1</v>
      </c>
      <c r="Y101" s="55" t="str">
        <f t="shared" si="102"/>
        <v>Nivel del indicador que satisface y supera las expectativas</v>
      </c>
      <c r="Z101" s="57"/>
      <c r="AA101" s="57"/>
      <c r="AB101" s="57">
        <v>1446</v>
      </c>
      <c r="AC101" s="56">
        <f t="shared" si="130"/>
        <v>1446</v>
      </c>
      <c r="AD101" s="59">
        <f t="shared" si="98"/>
        <v>0.96399999999999997</v>
      </c>
      <c r="AE101" s="55" t="str">
        <f t="shared" si="103"/>
        <v>Nivel del indicador que satisface y supera las expectativas</v>
      </c>
      <c r="AF101" s="57"/>
      <c r="AG101" s="57"/>
      <c r="AH101" s="57"/>
      <c r="AI101" s="238">
        <f t="shared" si="73"/>
        <v>1446</v>
      </c>
      <c r="AJ101" s="59">
        <f t="shared" si="104"/>
        <v>0.72299999999999998</v>
      </c>
      <c r="AK101" s="55" t="str">
        <f t="shared" si="105"/>
        <v>Nivel Aceptable del Indicador</v>
      </c>
      <c r="AP101" s="52">
        <f t="shared" si="106"/>
        <v>2000</v>
      </c>
      <c r="AQ101" s="52">
        <f t="shared" si="107"/>
        <v>500</v>
      </c>
      <c r="AR101" s="52">
        <f t="shared" si="108"/>
        <v>450</v>
      </c>
      <c r="AS101" s="79">
        <f t="shared" si="109"/>
        <v>0.9</v>
      </c>
      <c r="AT101" s="79">
        <f t="shared" si="110"/>
        <v>0.22500000000000001</v>
      </c>
      <c r="AU101" s="52">
        <f t="shared" si="111"/>
        <v>1000</v>
      </c>
      <c r="AV101" s="77">
        <f t="shared" si="112"/>
        <v>1051.2249999999999</v>
      </c>
      <c r="AW101" s="79">
        <f t="shared" si="113"/>
        <v>1.0512249999999999</v>
      </c>
      <c r="AX101" s="79">
        <f t="shared" si="114"/>
        <v>0.52561249999999993</v>
      </c>
      <c r="AY101" s="52">
        <f t="shared" si="115"/>
        <v>1500</v>
      </c>
      <c r="AZ101" s="77">
        <f t="shared" si="116"/>
        <v>2497.2249999999999</v>
      </c>
      <c r="BA101" s="79">
        <f t="shared" si="117"/>
        <v>1.6648166666666666</v>
      </c>
      <c r="BB101" s="79">
        <f t="shared" si="118"/>
        <v>1.2486124999999999</v>
      </c>
      <c r="BC101" s="52">
        <f t="shared" si="119"/>
        <v>2000</v>
      </c>
      <c r="BD101" s="77">
        <f t="shared" si="120"/>
        <v>3943.2249999999999</v>
      </c>
      <c r="BE101" s="79">
        <f t="shared" si="121"/>
        <v>1.9716125</v>
      </c>
      <c r="BF101" s="79">
        <f t="shared" si="122"/>
        <v>1.9716125</v>
      </c>
    </row>
    <row r="102" spans="1:60" ht="25.5" x14ac:dyDescent="0.25">
      <c r="A102" s="293"/>
      <c r="B102" s="57" t="s">
        <v>443</v>
      </c>
      <c r="C102" s="58" t="s">
        <v>444</v>
      </c>
      <c r="D102" s="58" t="s">
        <v>544</v>
      </c>
      <c r="E102" s="84">
        <v>903</v>
      </c>
      <c r="F102" s="206">
        <v>0.25</v>
      </c>
      <c r="G102" s="206">
        <f t="shared" si="68"/>
        <v>225.75</v>
      </c>
      <c r="H102" s="206">
        <v>2</v>
      </c>
      <c r="I102" s="206">
        <f t="shared" si="69"/>
        <v>451.5</v>
      </c>
      <c r="J102" s="206">
        <v>0.75</v>
      </c>
      <c r="K102" s="206">
        <f t="shared" si="70"/>
        <v>677.25</v>
      </c>
      <c r="L102" s="206">
        <v>1</v>
      </c>
      <c r="M102" s="206">
        <f t="shared" si="71"/>
        <v>903</v>
      </c>
      <c r="N102" s="114">
        <v>0</v>
      </c>
      <c r="O102" s="114">
        <v>95</v>
      </c>
      <c r="P102" s="114">
        <v>103</v>
      </c>
      <c r="Q102" s="193">
        <f t="shared" si="101"/>
        <v>198</v>
      </c>
      <c r="R102" s="59">
        <f t="shared" si="74"/>
        <v>0.87707641196013286</v>
      </c>
      <c r="S102" s="55" t="str">
        <f t="shared" si="62"/>
        <v>Nivel del indicador que satisface y supera las expectativas</v>
      </c>
      <c r="T102" s="177">
        <v>149</v>
      </c>
      <c r="U102" s="177">
        <v>143</v>
      </c>
      <c r="V102" s="177">
        <v>28</v>
      </c>
      <c r="W102" s="56">
        <f t="shared" si="72"/>
        <v>518</v>
      </c>
      <c r="X102" s="59">
        <v>1</v>
      </c>
      <c r="Y102" s="55" t="str">
        <f t="shared" si="102"/>
        <v>Nivel del indicador que satisface y supera las expectativas</v>
      </c>
      <c r="Z102" s="57"/>
      <c r="AA102" s="57"/>
      <c r="AB102" s="57">
        <v>740</v>
      </c>
      <c r="AC102" s="56">
        <f t="shared" si="130"/>
        <v>740</v>
      </c>
      <c r="AD102" s="59">
        <v>1</v>
      </c>
      <c r="AE102" s="55" t="str">
        <f t="shared" si="103"/>
        <v>Nivel del indicador que satisface y supera las expectativas</v>
      </c>
      <c r="AF102" s="57"/>
      <c r="AG102" s="57"/>
      <c r="AH102" s="57"/>
      <c r="AI102" s="56">
        <f t="shared" si="73"/>
        <v>740</v>
      </c>
      <c r="AJ102" s="59">
        <f t="shared" si="104"/>
        <v>0.81949058693244736</v>
      </c>
      <c r="AK102" s="55" t="str">
        <f t="shared" si="105"/>
        <v>Nivel del indicador que cumple las expectativas</v>
      </c>
      <c r="AP102" s="52">
        <f t="shared" si="106"/>
        <v>903</v>
      </c>
      <c r="AQ102" s="52">
        <f t="shared" si="107"/>
        <v>225.75</v>
      </c>
      <c r="AR102" s="52">
        <f t="shared" si="108"/>
        <v>198</v>
      </c>
      <c r="AS102" s="79">
        <f t="shared" si="109"/>
        <v>0.87707641196013286</v>
      </c>
      <c r="AT102" s="79">
        <f t="shared" si="110"/>
        <v>0.21926910299003322</v>
      </c>
      <c r="AU102" s="52">
        <f t="shared" si="111"/>
        <v>451.5</v>
      </c>
      <c r="AV102" s="77">
        <f t="shared" si="112"/>
        <v>518.21926910298998</v>
      </c>
      <c r="AW102" s="79">
        <f t="shared" si="113"/>
        <v>1.1477724675592247</v>
      </c>
      <c r="AX102" s="79">
        <f t="shared" si="114"/>
        <v>0.57388623377961234</v>
      </c>
      <c r="AY102" s="52">
        <f t="shared" si="115"/>
        <v>677.25</v>
      </c>
      <c r="AZ102" s="77">
        <f t="shared" si="116"/>
        <v>1258.21926910299</v>
      </c>
      <c r="BA102" s="79">
        <f t="shared" si="117"/>
        <v>1.8578357609494129</v>
      </c>
      <c r="BB102" s="79">
        <f t="shared" si="118"/>
        <v>1.3933768207120596</v>
      </c>
      <c r="BC102" s="52">
        <f t="shared" si="119"/>
        <v>903</v>
      </c>
      <c r="BD102" s="77">
        <f t="shared" si="120"/>
        <v>1998.21926910299</v>
      </c>
      <c r="BE102" s="79">
        <f t="shared" si="121"/>
        <v>2.2128674076445072</v>
      </c>
      <c r="BF102" s="79">
        <f t="shared" si="122"/>
        <v>2.2128674076445072</v>
      </c>
    </row>
    <row r="103" spans="1:60" ht="25.5" x14ac:dyDescent="0.25">
      <c r="A103" s="294"/>
      <c r="B103" s="57" t="s">
        <v>445</v>
      </c>
      <c r="C103" s="58" t="s">
        <v>446</v>
      </c>
      <c r="D103" s="58" t="s">
        <v>544</v>
      </c>
      <c r="E103" s="84">
        <v>1200</v>
      </c>
      <c r="F103" s="206">
        <v>0.25</v>
      </c>
      <c r="G103" s="206">
        <f t="shared" si="68"/>
        <v>300</v>
      </c>
      <c r="H103" s="206">
        <v>2</v>
      </c>
      <c r="I103" s="206">
        <f t="shared" si="69"/>
        <v>600</v>
      </c>
      <c r="J103" s="206">
        <v>0.75</v>
      </c>
      <c r="K103" s="206">
        <f t="shared" si="70"/>
        <v>900</v>
      </c>
      <c r="L103" s="206">
        <v>1</v>
      </c>
      <c r="M103" s="206">
        <f t="shared" si="71"/>
        <v>1200</v>
      </c>
      <c r="N103" s="114">
        <v>0</v>
      </c>
      <c r="O103" s="114">
        <v>111</v>
      </c>
      <c r="P103" s="114">
        <v>143</v>
      </c>
      <c r="Q103" s="193">
        <f t="shared" si="101"/>
        <v>254</v>
      </c>
      <c r="R103" s="59">
        <f t="shared" si="74"/>
        <v>0.84666666666666668</v>
      </c>
      <c r="S103" s="55" t="str">
        <f t="shared" si="62"/>
        <v>Nivel del indicador que satisface y supera las expectativas</v>
      </c>
      <c r="T103" s="177">
        <v>204</v>
      </c>
      <c r="U103" s="177">
        <v>137</v>
      </c>
      <c r="V103" s="177">
        <v>30</v>
      </c>
      <c r="W103" s="56">
        <f t="shared" si="72"/>
        <v>625</v>
      </c>
      <c r="X103" s="59">
        <v>1</v>
      </c>
      <c r="Y103" s="55" t="str">
        <f t="shared" si="102"/>
        <v>Nivel del indicador que satisface y supera las expectativas</v>
      </c>
      <c r="Z103" s="57"/>
      <c r="AA103" s="57"/>
      <c r="AB103" s="57">
        <v>712</v>
      </c>
      <c r="AC103" s="56">
        <f t="shared" si="130"/>
        <v>712</v>
      </c>
      <c r="AD103" s="59">
        <f t="shared" si="98"/>
        <v>0.7911111111111111</v>
      </c>
      <c r="AE103" s="55" t="str">
        <f t="shared" si="103"/>
        <v>Nivel del indicador que satisface y supera las expectativas</v>
      </c>
      <c r="AF103" s="57"/>
      <c r="AG103" s="57"/>
      <c r="AH103" s="57"/>
      <c r="AI103" s="238">
        <f t="shared" si="73"/>
        <v>712</v>
      </c>
      <c r="AJ103" s="59">
        <f t="shared" si="104"/>
        <v>0.59333333333333338</v>
      </c>
      <c r="AK103" s="55" t="str">
        <f t="shared" si="105"/>
        <v>Nivel Aceptable del Indicador</v>
      </c>
      <c r="AN103" t="s">
        <v>205</v>
      </c>
      <c r="AO103" t="s">
        <v>206</v>
      </c>
      <c r="AP103" s="52">
        <f t="shared" si="106"/>
        <v>1200</v>
      </c>
      <c r="AQ103" s="52">
        <f t="shared" si="107"/>
        <v>300</v>
      </c>
      <c r="AR103" s="52">
        <f t="shared" si="108"/>
        <v>254</v>
      </c>
      <c r="AS103" s="79">
        <f t="shared" si="109"/>
        <v>0.84666666666666668</v>
      </c>
      <c r="AT103" s="79">
        <f t="shared" si="110"/>
        <v>0.21166666666666667</v>
      </c>
      <c r="AU103" s="52">
        <f t="shared" si="111"/>
        <v>600</v>
      </c>
      <c r="AV103" s="77">
        <f t="shared" si="112"/>
        <v>625.2116666666667</v>
      </c>
      <c r="AW103" s="79">
        <f t="shared" si="113"/>
        <v>1.0420194444444446</v>
      </c>
      <c r="AX103" s="79">
        <f t="shared" si="114"/>
        <v>0.5210097222222223</v>
      </c>
      <c r="AY103" s="52">
        <f t="shared" si="115"/>
        <v>900</v>
      </c>
      <c r="AZ103" s="77">
        <f t="shared" si="116"/>
        <v>1337.2116666666666</v>
      </c>
      <c r="BA103" s="79">
        <f t="shared" si="117"/>
        <v>1.4857907407407407</v>
      </c>
      <c r="BB103" s="79">
        <f t="shared" si="118"/>
        <v>1.1143430555555556</v>
      </c>
      <c r="BC103" s="52">
        <f t="shared" si="119"/>
        <v>1200</v>
      </c>
      <c r="BD103" s="77">
        <f t="shared" si="120"/>
        <v>2049.2116666666666</v>
      </c>
      <c r="BE103" s="79">
        <f t="shared" si="121"/>
        <v>1.7076763888888888</v>
      </c>
      <c r="BF103" s="79">
        <f t="shared" si="122"/>
        <v>1.7076763888888888</v>
      </c>
    </row>
    <row r="104" spans="1:60" ht="41.25" customHeight="1" x14ac:dyDescent="0.25">
      <c r="A104" s="57" t="s">
        <v>450</v>
      </c>
      <c r="B104" s="95" t="s">
        <v>451</v>
      </c>
      <c r="C104" s="96" t="s">
        <v>452</v>
      </c>
      <c r="D104" s="96" t="s">
        <v>623</v>
      </c>
      <c r="E104" s="108">
        <v>7.0000000000000007E-2</v>
      </c>
      <c r="F104" s="206">
        <v>0.25</v>
      </c>
      <c r="G104" s="206">
        <v>0.03</v>
      </c>
      <c r="H104" s="206">
        <v>2</v>
      </c>
      <c r="I104" s="206">
        <f>+E104/H104</f>
        <v>3.5000000000000003E-2</v>
      </c>
      <c r="J104" s="206">
        <v>0.75</v>
      </c>
      <c r="K104" s="206">
        <f t="shared" si="70"/>
        <v>5.2500000000000005E-2</v>
      </c>
      <c r="L104" s="206">
        <v>1</v>
      </c>
      <c r="M104" s="206">
        <f t="shared" si="71"/>
        <v>7.0000000000000007E-2</v>
      </c>
      <c r="N104" s="131">
        <v>0</v>
      </c>
      <c r="O104" s="211">
        <v>0.02</v>
      </c>
      <c r="P104" s="211">
        <v>0.01</v>
      </c>
      <c r="Q104" s="193">
        <f>N104+O104+P104</f>
        <v>0.03</v>
      </c>
      <c r="R104" s="59">
        <f>IF(Q104&gt;0,Q104/G104,"")</f>
        <v>1</v>
      </c>
      <c r="S104" s="55" t="str">
        <f t="shared" si="62"/>
        <v>Nivel del indicador que satisface y supera las expectativas</v>
      </c>
      <c r="T104" s="163">
        <v>5.0000000000000001E-3</v>
      </c>
      <c r="U104" s="163">
        <v>0</v>
      </c>
      <c r="V104" s="163">
        <v>0</v>
      </c>
      <c r="W104" s="59">
        <f>T104+U104+V104+Q104</f>
        <v>3.4999999999999996E-2</v>
      </c>
      <c r="X104" s="59">
        <f>IF(W104&gt;0,W104/I104,"")</f>
        <v>0.99999999999999978</v>
      </c>
      <c r="Y104" s="55" t="str">
        <f>IF(AND(E104&gt;0,W104=0),"¡¡Ojo No se Ejecutaron Actividades!!",IF(X104="","",IF(X104&lt;15.99%,"Se ha avanzado muy poco o nada en este indicador",IF(X104&lt;=36.99%,"Nivel Aceptable del Indicador",IF(X104&lt;=49.99%,"Nivel del indicador que cumple las expectativas","Nivel del indicador que satisface y supera las expectativas")))))</f>
        <v>Nivel del indicador que satisface y supera las expectativas</v>
      </c>
      <c r="Z104" s="57"/>
      <c r="AA104" s="57"/>
      <c r="AB104" s="59">
        <v>2.0799999999999999E-2</v>
      </c>
      <c r="AC104" s="59">
        <f>Z104+AA104+AB104+W104</f>
        <v>5.5799999999999995E-2</v>
      </c>
      <c r="AD104" s="59">
        <v>1</v>
      </c>
      <c r="AE104" s="55" t="str">
        <f>IF(AND(E104&gt;0,AC104=0),"¡¡Ojo No se Ejecutaron Actividades!!",IF(AD104="","",IF(AD104&lt;24.99%,"Se ha avanzado muy poco o nada en este indicador",IF(AD104&lt;=55.99%,"Nivel Aceptable del Indicador",IF(AD104&lt;=74.99%,"Nivel del indicador que cumple las expectativas","Nivel del indicador que satisface y supera las expectativas")))))</f>
        <v>Nivel del indicador que satisface y supera las expectativas</v>
      </c>
      <c r="AF104" s="57"/>
      <c r="AG104" s="57"/>
      <c r="AH104" s="57"/>
      <c r="AI104" s="56">
        <f t="shared" si="73"/>
        <v>5.5799999999999995E-2</v>
      </c>
      <c r="AJ104" s="59">
        <f>IFERROR((IF(AI104&gt;0,AI104/E104,"")),0)</f>
        <v>0.79714285714285704</v>
      </c>
      <c r="AK104" s="55" t="str">
        <f>IF(AND(E104&gt;0,AI104=0),"¡¡Ojo No se Ejecutaron Actividades!!",IF(AJ104="","",IF(AJ104&lt;33.99%,"Se ha avanzado muy poco o nada en este indicador",IF(AJ104&lt;=75.99%,"Nivel Aceptable del Indicador",IF(AJ104&lt;=98.99%,"Nivel del indicador que cumple las expectativas","Nivel del indicador que satisface y supera las expectativas")))))</f>
        <v>Nivel del indicador que cumple las expectativas</v>
      </c>
      <c r="AP104" s="52">
        <f>E104</f>
        <v>7.0000000000000007E-2</v>
      </c>
      <c r="AQ104" s="52">
        <f>AP104/4</f>
        <v>1.7500000000000002E-2</v>
      </c>
      <c r="AR104" s="52">
        <f>Q104</f>
        <v>0.03</v>
      </c>
      <c r="AS104" s="79">
        <f>IFERROR((AR104/AQ104),0)</f>
        <v>1.714285714285714</v>
      </c>
      <c r="AT104" s="79">
        <f>IFERROR((((AR104*25)/AQ104)/100),0)</f>
        <v>0.42857142857142855</v>
      </c>
      <c r="AU104" s="52">
        <f>AP104/2</f>
        <v>3.5000000000000003E-2</v>
      </c>
      <c r="AV104" s="77">
        <f>W104+AT104</f>
        <v>0.46357142857142852</v>
      </c>
      <c r="AW104" s="79">
        <f>IFERROR((AV104/AU104),0)</f>
        <v>13.244897959183671</v>
      </c>
      <c r="AX104" s="79">
        <f>IFERROR((((AV104*50)/AU104)/100),0)</f>
        <v>6.6224489795918364</v>
      </c>
      <c r="AY104" s="52">
        <f>AQ104+AU104</f>
        <v>5.2500000000000005E-2</v>
      </c>
      <c r="AZ104" s="77">
        <f>AC104+AV104</f>
        <v>0.51937142857142848</v>
      </c>
      <c r="BA104" s="79">
        <f>IFERROR((AZ104/AY104),0)</f>
        <v>9.8927891156462557</v>
      </c>
      <c r="BB104" s="79">
        <f>IFERROR((((AZ104*75)/AY104)/100),0)</f>
        <v>7.4195918367346918</v>
      </c>
      <c r="BC104" s="52">
        <f>AY104+AQ104</f>
        <v>7.0000000000000007E-2</v>
      </c>
      <c r="BD104" s="77">
        <f>AI104+AZ104</f>
        <v>0.57517142857142844</v>
      </c>
      <c r="BE104" s="79">
        <f>IFERROR((BD104/BC104),0)</f>
        <v>8.2167346938775481</v>
      </c>
      <c r="BF104" s="79">
        <f>IFERROR((((BD104*100)/BC104)/100),0)</f>
        <v>8.2167346938775481</v>
      </c>
      <c r="BG104" s="52"/>
      <c r="BH104" s="52"/>
    </row>
    <row r="105" spans="1:60" ht="25.5" x14ac:dyDescent="0.25">
      <c r="A105" s="292" t="s">
        <v>453</v>
      </c>
      <c r="B105" s="95" t="s">
        <v>454</v>
      </c>
      <c r="C105" s="96" t="s">
        <v>455</v>
      </c>
      <c r="D105" s="96" t="s">
        <v>624</v>
      </c>
      <c r="E105" s="109">
        <v>1645</v>
      </c>
      <c r="F105" s="206">
        <v>0.25</v>
      </c>
      <c r="G105" s="206">
        <f t="shared" si="68"/>
        <v>411.25</v>
      </c>
      <c r="H105" s="206">
        <v>2</v>
      </c>
      <c r="I105" s="206">
        <f t="shared" si="69"/>
        <v>822.5</v>
      </c>
      <c r="J105" s="206">
        <v>0.75</v>
      </c>
      <c r="K105" s="206">
        <f t="shared" si="70"/>
        <v>1233.75</v>
      </c>
      <c r="L105" s="206">
        <v>1</v>
      </c>
      <c r="M105" s="206">
        <f t="shared" si="71"/>
        <v>1645</v>
      </c>
      <c r="N105" s="131">
        <v>0</v>
      </c>
      <c r="O105" s="131">
        <v>0</v>
      </c>
      <c r="P105" s="193">
        <v>0</v>
      </c>
      <c r="Q105" s="193">
        <f t="shared" si="101"/>
        <v>0</v>
      </c>
      <c r="R105" s="59" t="str">
        <f t="shared" si="74"/>
        <v/>
      </c>
      <c r="S105" s="55" t="str">
        <f t="shared" si="62"/>
        <v>¡¡Ojo No se Ejecutaron Actividades!!</v>
      </c>
      <c r="T105" s="163">
        <v>0</v>
      </c>
      <c r="U105" s="163">
        <v>0</v>
      </c>
      <c r="V105" s="163">
        <v>0</v>
      </c>
      <c r="W105" s="56">
        <f t="shared" si="72"/>
        <v>0</v>
      </c>
      <c r="X105" s="59" t="str">
        <f t="shared" si="99"/>
        <v/>
      </c>
      <c r="Y105" s="55" t="str">
        <f t="shared" ref="Y105:Y121" si="131">IF(AND(E105&gt;0,W105=0),"¡¡Ojo No se Ejecutaron Actividades!!",IF(X105="","",IF(X105&lt;15.99%,"Se ha avanzado muy poco o nada en este indicador",IF(X105&lt;=36.99%,"Nivel Aceptable del Indicador",IF(X105&lt;=49.99%,"Nivel del indicador que cumple las expectativas","Nivel del indicador que satisface y supera las expectativas")))))</f>
        <v>¡¡Ojo No se Ejecutaron Actividades!!</v>
      </c>
      <c r="Z105" s="57"/>
      <c r="AA105" s="57"/>
      <c r="AB105" s="245">
        <v>1E-3</v>
      </c>
      <c r="AC105" s="56">
        <f t="shared" ref="AC105:AC120" si="132">Z105+AA105+AB105+W105</f>
        <v>1E-3</v>
      </c>
      <c r="AD105" s="59">
        <f t="shared" ref="AD105:AD116" si="133">IFERROR((IF(AC105&gt;0,AC105/K105,"")),0)</f>
        <v>8.1053698074974677E-7</v>
      </c>
      <c r="AE105" s="55" t="str">
        <f t="shared" ref="AE105:AE115" si="134">IF(AND(E105&gt;0,AC105=0),"¡¡Ojo No se Ejecutaron Actividades!!",IF(AD105="","",IF(AD105&lt;24.99%,"Se ha avanzado muy poco o nada en este indicador",IF(AD105&lt;=55.99%,"Nivel Aceptable del Indicador",IF(AD105&lt;=74.99%,"Nivel del indicador que cumple las expectativas","Nivel del indicador que satisface y supera las expectativas")))))</f>
        <v>Se ha avanzado muy poco o nada en este indicador</v>
      </c>
      <c r="AF105" s="57"/>
      <c r="AG105" s="57"/>
      <c r="AH105" s="57"/>
      <c r="AI105" s="238">
        <f t="shared" si="73"/>
        <v>1E-3</v>
      </c>
      <c r="AJ105" s="59">
        <f t="shared" ref="AJ105:AJ121" si="135">IFERROR((IF(AI105&gt;0,AI105/E105,"")),0)</f>
        <v>6.0790273556231003E-7</v>
      </c>
      <c r="AK105" s="55" t="str">
        <f t="shared" ref="AK105:AK121" si="136">IF(AND(E105&gt;0,AI105=0),"¡¡Ojo No se Ejecutaron Actividades!!",IF(AJ105="","",IF(AJ105&lt;33.99%,"Se ha avanzado muy poco o nada en este indicador",IF(AJ105&lt;=75.99%,"Nivel Aceptable del Indicador",IF(AJ105&lt;=98.99%,"Nivel del indicador que cumple las expectativas","Nivel del indicador que satisface y supera las expectativas")))))</f>
        <v>Se ha avanzado muy poco o nada en este indicador</v>
      </c>
      <c r="AP105" s="52">
        <f t="shared" ref="AP105:AP121" si="137">E105</f>
        <v>1645</v>
      </c>
      <c r="AQ105" s="52">
        <f t="shared" ref="AQ105:AQ121" si="138">AP105/4</f>
        <v>411.25</v>
      </c>
      <c r="AR105" s="52">
        <f t="shared" ref="AR105:AR121" si="139">Q105</f>
        <v>0</v>
      </c>
      <c r="AS105" s="79">
        <f t="shared" ref="AS105:AS121" si="140">IFERROR((AR105/AQ105),0)</f>
        <v>0</v>
      </c>
      <c r="AT105" s="79">
        <f t="shared" ref="AT105:AT121" si="141">IFERROR((((AR105*25)/AQ105)/100),0)</f>
        <v>0</v>
      </c>
      <c r="AU105" s="52">
        <f t="shared" ref="AU105:AU121" si="142">AP105/2</f>
        <v>822.5</v>
      </c>
      <c r="AV105" s="77">
        <f t="shared" ref="AV105:AV121" si="143">W105+AT105</f>
        <v>0</v>
      </c>
      <c r="AW105" s="79">
        <f t="shared" ref="AW105:AW121" si="144">IFERROR((AV105/AU105),0)</f>
        <v>0</v>
      </c>
      <c r="AX105" s="79">
        <f t="shared" ref="AX105:AX121" si="145">IFERROR((((AV105*50)/AU105)/100),0)</f>
        <v>0</v>
      </c>
      <c r="AY105" s="52">
        <f t="shared" ref="AY105:AY121" si="146">AQ105+AU105</f>
        <v>1233.75</v>
      </c>
      <c r="AZ105" s="77">
        <f t="shared" ref="AZ105:AZ121" si="147">AC105+AV105</f>
        <v>1E-3</v>
      </c>
      <c r="BA105" s="79">
        <f t="shared" ref="BA105:BA121" si="148">IFERROR((AZ105/AY105),0)</f>
        <v>8.1053698074974677E-7</v>
      </c>
      <c r="BB105" s="79">
        <f t="shared" ref="BB105:BB121" si="149">IFERROR((((AZ105*75)/AY105)/100),0)</f>
        <v>6.0790273556231003E-7</v>
      </c>
      <c r="BC105" s="52">
        <f t="shared" ref="BC105:BC121" si="150">AY105+AQ105</f>
        <v>1645</v>
      </c>
      <c r="BD105" s="77">
        <f t="shared" ref="BD105:BD121" si="151">AI105+AZ105</f>
        <v>2E-3</v>
      </c>
      <c r="BE105" s="79">
        <f t="shared" ref="BE105:BE121" si="152">IFERROR((BD105/BC105),0)</f>
        <v>1.2158054711246201E-6</v>
      </c>
      <c r="BF105" s="79">
        <f t="shared" ref="BF105:BF121" si="153">IFERROR((((BD105*100)/BC105)/100),0)</f>
        <v>1.2158054711246201E-6</v>
      </c>
    </row>
    <row r="106" spans="1:60" ht="37.5" customHeight="1" x14ac:dyDescent="0.25">
      <c r="A106" s="293"/>
      <c r="B106" s="95" t="s">
        <v>456</v>
      </c>
      <c r="C106" s="96" t="s">
        <v>457</v>
      </c>
      <c r="D106" s="96" t="s">
        <v>624</v>
      </c>
      <c r="E106" s="96">
        <v>100</v>
      </c>
      <c r="F106" s="206">
        <v>0.25</v>
      </c>
      <c r="G106" s="206">
        <f t="shared" si="68"/>
        <v>25</v>
      </c>
      <c r="H106" s="206">
        <v>2</v>
      </c>
      <c r="I106" s="206">
        <f t="shared" si="69"/>
        <v>50</v>
      </c>
      <c r="J106" s="206">
        <v>0.75</v>
      </c>
      <c r="K106" s="206">
        <f t="shared" si="70"/>
        <v>75</v>
      </c>
      <c r="L106" s="206">
        <v>1</v>
      </c>
      <c r="M106" s="206">
        <f t="shared" si="71"/>
        <v>100</v>
      </c>
      <c r="N106" s="131">
        <v>23.89</v>
      </c>
      <c r="O106" s="131">
        <v>0</v>
      </c>
      <c r="P106" s="131">
        <v>10.25</v>
      </c>
      <c r="Q106" s="193">
        <f t="shared" si="101"/>
        <v>34.14</v>
      </c>
      <c r="R106" s="59">
        <v>1</v>
      </c>
      <c r="S106" s="55" t="str">
        <f t="shared" si="62"/>
        <v>Nivel del indicador que satisface y supera las expectativas</v>
      </c>
      <c r="T106" s="163">
        <v>1.2</v>
      </c>
      <c r="U106" s="163">
        <v>0.99</v>
      </c>
      <c r="V106" s="163">
        <v>0</v>
      </c>
      <c r="W106" s="56">
        <f t="shared" si="72"/>
        <v>36.33</v>
      </c>
      <c r="X106" s="59">
        <f t="shared" si="99"/>
        <v>0.72659999999999991</v>
      </c>
      <c r="Y106" s="55" t="str">
        <f t="shared" si="131"/>
        <v>Nivel del indicador que satisface y supera las expectativas</v>
      </c>
      <c r="Z106" s="57"/>
      <c r="AA106" s="57"/>
      <c r="AB106" s="214">
        <f t="shared" ref="AB106:AB117" si="154">+SUM(P106:AA106)</f>
        <v>84.636600000000001</v>
      </c>
      <c r="AC106" s="56">
        <f t="shared" si="132"/>
        <v>120.9666</v>
      </c>
      <c r="AD106" s="59">
        <v>1</v>
      </c>
      <c r="AE106" s="55" t="str">
        <f t="shared" si="134"/>
        <v>Nivel del indicador que satisface y supera las expectativas</v>
      </c>
      <c r="AF106" s="57"/>
      <c r="AG106" s="57"/>
      <c r="AH106" s="57"/>
      <c r="AI106" s="56">
        <f t="shared" si="73"/>
        <v>120.9666</v>
      </c>
      <c r="AJ106" s="59">
        <f t="shared" si="135"/>
        <v>1.2096659999999999</v>
      </c>
      <c r="AK106" s="55" t="str">
        <f t="shared" si="136"/>
        <v>Nivel del indicador que satisface y supera las expectativas</v>
      </c>
      <c r="AP106" s="52">
        <f t="shared" si="137"/>
        <v>100</v>
      </c>
      <c r="AQ106" s="52">
        <f t="shared" si="138"/>
        <v>25</v>
      </c>
      <c r="AR106" s="52">
        <f t="shared" si="139"/>
        <v>34.14</v>
      </c>
      <c r="AS106" s="79">
        <f t="shared" si="140"/>
        <v>1.3655999999999999</v>
      </c>
      <c r="AT106" s="79">
        <f t="shared" si="141"/>
        <v>0.34139999999999998</v>
      </c>
      <c r="AU106" s="52">
        <f t="shared" si="142"/>
        <v>50</v>
      </c>
      <c r="AV106" s="77">
        <f t="shared" si="143"/>
        <v>36.671399999999998</v>
      </c>
      <c r="AW106" s="79">
        <f t="shared" si="144"/>
        <v>0.73342799999999997</v>
      </c>
      <c r="AX106" s="79">
        <f t="shared" si="145"/>
        <v>0.36671399999999998</v>
      </c>
      <c r="AY106" s="52">
        <f t="shared" si="146"/>
        <v>75</v>
      </c>
      <c r="AZ106" s="77">
        <f t="shared" si="147"/>
        <v>157.63800000000001</v>
      </c>
      <c r="BA106" s="79">
        <f t="shared" si="148"/>
        <v>2.1018400000000002</v>
      </c>
      <c r="BB106" s="79">
        <f t="shared" si="149"/>
        <v>1.5763800000000001</v>
      </c>
      <c r="BC106" s="52">
        <f t="shared" si="150"/>
        <v>100</v>
      </c>
      <c r="BD106" s="77">
        <f t="shared" si="151"/>
        <v>278.6046</v>
      </c>
      <c r="BE106" s="79">
        <f t="shared" si="152"/>
        <v>2.7860460000000002</v>
      </c>
      <c r="BF106" s="79">
        <f t="shared" si="153"/>
        <v>2.7860460000000002</v>
      </c>
    </row>
    <row r="107" spans="1:60" ht="30" x14ac:dyDescent="0.25">
      <c r="A107" s="293"/>
      <c r="B107" s="95" t="s">
        <v>458</v>
      </c>
      <c r="C107" s="96" t="s">
        <v>459</v>
      </c>
      <c r="D107" s="96" t="s">
        <v>547</v>
      </c>
      <c r="E107" s="96">
        <v>293</v>
      </c>
      <c r="F107" s="206">
        <v>0.25</v>
      </c>
      <c r="G107" s="206">
        <f t="shared" si="68"/>
        <v>73.25</v>
      </c>
      <c r="H107" s="206">
        <v>2</v>
      </c>
      <c r="I107" s="206">
        <f t="shared" si="69"/>
        <v>146.5</v>
      </c>
      <c r="J107" s="206">
        <v>0.75</v>
      </c>
      <c r="K107" s="206">
        <v>260</v>
      </c>
      <c r="L107" s="206">
        <v>1</v>
      </c>
      <c r="M107" s="206">
        <f t="shared" si="71"/>
        <v>293</v>
      </c>
      <c r="N107" s="131">
        <v>10</v>
      </c>
      <c r="O107" s="131">
        <v>0</v>
      </c>
      <c r="P107" s="131">
        <v>21</v>
      </c>
      <c r="Q107" s="193">
        <f t="shared" si="101"/>
        <v>31</v>
      </c>
      <c r="R107" s="59">
        <f t="shared" si="74"/>
        <v>0.42320819112627989</v>
      </c>
      <c r="S107" s="55" t="str">
        <f t="shared" si="62"/>
        <v>Nivel del indicador que satisface y supera las expectativas</v>
      </c>
      <c r="T107" s="163">
        <v>0</v>
      </c>
      <c r="U107" s="163">
        <v>0</v>
      </c>
      <c r="V107" s="163">
        <v>66</v>
      </c>
      <c r="W107" s="56">
        <f t="shared" si="72"/>
        <v>97</v>
      </c>
      <c r="X107" s="59">
        <f t="shared" si="99"/>
        <v>0.66211604095563137</v>
      </c>
      <c r="Y107" s="55" t="str">
        <f t="shared" si="131"/>
        <v>Nivel del indicador que satisface y supera las expectativas</v>
      </c>
      <c r="Z107" s="57"/>
      <c r="AA107" s="57"/>
      <c r="AB107" s="214">
        <f>+SUM(P107:AA107)</f>
        <v>216.08532423208189</v>
      </c>
      <c r="AC107" s="56">
        <f>Z107+AA107+AB107+W107</f>
        <v>313.08532423208192</v>
      </c>
      <c r="AD107" s="59">
        <v>1</v>
      </c>
      <c r="AE107" s="55" t="str">
        <f t="shared" si="134"/>
        <v>Nivel del indicador que satisface y supera las expectativas</v>
      </c>
      <c r="AF107" s="57"/>
      <c r="AG107" s="57"/>
      <c r="AH107" s="57"/>
      <c r="AI107" s="56">
        <f t="shared" si="73"/>
        <v>313.08532423208192</v>
      </c>
      <c r="AJ107" s="59">
        <f t="shared" si="135"/>
        <v>1.0685505946487437</v>
      </c>
      <c r="AK107" s="55" t="str">
        <f t="shared" si="136"/>
        <v>Nivel del indicador que satisface y supera las expectativas</v>
      </c>
      <c r="AP107" s="52">
        <f t="shared" si="137"/>
        <v>293</v>
      </c>
      <c r="AQ107" s="52">
        <f t="shared" si="138"/>
        <v>73.25</v>
      </c>
      <c r="AR107" s="52">
        <f t="shared" si="139"/>
        <v>31</v>
      </c>
      <c r="AS107" s="79">
        <f t="shared" si="140"/>
        <v>0.42320819112627989</v>
      </c>
      <c r="AT107" s="79">
        <f t="shared" si="141"/>
        <v>0.10580204778156997</v>
      </c>
      <c r="AU107" s="52">
        <f t="shared" si="142"/>
        <v>146.5</v>
      </c>
      <c r="AV107" s="77">
        <f t="shared" si="143"/>
        <v>97.105802047781566</v>
      </c>
      <c r="AW107" s="79">
        <f t="shared" si="144"/>
        <v>0.66283823923400387</v>
      </c>
      <c r="AX107" s="79">
        <f t="shared" si="145"/>
        <v>0.33141911961700193</v>
      </c>
      <c r="AY107" s="52">
        <f t="shared" si="146"/>
        <v>219.75</v>
      </c>
      <c r="AZ107" s="77">
        <f t="shared" si="147"/>
        <v>410.19112627986351</v>
      </c>
      <c r="BA107" s="79">
        <f t="shared" si="148"/>
        <v>1.866626285687661</v>
      </c>
      <c r="BB107" s="79">
        <f t="shared" si="149"/>
        <v>1.3999697142657459</v>
      </c>
      <c r="BC107" s="52">
        <f t="shared" si="150"/>
        <v>293</v>
      </c>
      <c r="BD107" s="77">
        <f t="shared" si="151"/>
        <v>723.27645051194543</v>
      </c>
      <c r="BE107" s="79">
        <f t="shared" si="152"/>
        <v>2.4685203089144894</v>
      </c>
      <c r="BF107" s="79">
        <f t="shared" si="153"/>
        <v>2.4685203089144894</v>
      </c>
    </row>
    <row r="108" spans="1:60" ht="30" x14ac:dyDescent="0.25">
      <c r="A108" s="293"/>
      <c r="B108" s="95" t="s">
        <v>460</v>
      </c>
      <c r="C108" s="96" t="s">
        <v>461</v>
      </c>
      <c r="D108" s="96" t="s">
        <v>547</v>
      </c>
      <c r="E108" s="96">
        <v>156</v>
      </c>
      <c r="F108" s="206">
        <v>0.25</v>
      </c>
      <c r="G108" s="206">
        <f t="shared" si="68"/>
        <v>39</v>
      </c>
      <c r="H108" s="206">
        <v>2</v>
      </c>
      <c r="I108" s="206">
        <f t="shared" si="69"/>
        <v>78</v>
      </c>
      <c r="J108" s="206">
        <v>0.75</v>
      </c>
      <c r="K108" s="206">
        <f t="shared" si="70"/>
        <v>117</v>
      </c>
      <c r="L108" s="206">
        <v>1</v>
      </c>
      <c r="M108" s="206">
        <f t="shared" si="71"/>
        <v>156</v>
      </c>
      <c r="N108" s="131">
        <v>62.7</v>
      </c>
      <c r="O108" s="131">
        <v>0</v>
      </c>
      <c r="P108" s="131">
        <v>9.92</v>
      </c>
      <c r="Q108" s="193">
        <f t="shared" si="101"/>
        <v>72.62</v>
      </c>
      <c r="R108" s="59">
        <v>1</v>
      </c>
      <c r="S108" s="55" t="str">
        <f t="shared" si="62"/>
        <v>Nivel del indicador que satisface y supera las expectativas</v>
      </c>
      <c r="T108" s="163">
        <v>0</v>
      </c>
      <c r="U108" s="163">
        <v>40.799999999999997</v>
      </c>
      <c r="V108" s="163">
        <v>0</v>
      </c>
      <c r="W108" s="56">
        <f t="shared" si="72"/>
        <v>113.42</v>
      </c>
      <c r="X108" s="59">
        <v>1</v>
      </c>
      <c r="Y108" s="55" t="str">
        <f t="shared" si="131"/>
        <v>Nivel del indicador que satisface y supera las expectativas</v>
      </c>
      <c r="Z108" s="57"/>
      <c r="AA108" s="57"/>
      <c r="AB108" s="214">
        <v>262</v>
      </c>
      <c r="AC108" s="56">
        <f t="shared" si="132"/>
        <v>375.42</v>
      </c>
      <c r="AD108" s="59">
        <v>1</v>
      </c>
      <c r="AE108" s="55" t="str">
        <f t="shared" si="134"/>
        <v>Nivel del indicador que satisface y supera las expectativas</v>
      </c>
      <c r="AF108" s="57"/>
      <c r="AG108" s="57"/>
      <c r="AH108" s="57"/>
      <c r="AI108" s="56">
        <f t="shared" si="73"/>
        <v>375.42</v>
      </c>
      <c r="AJ108" s="59">
        <f t="shared" si="135"/>
        <v>2.4065384615384615</v>
      </c>
      <c r="AK108" s="55" t="str">
        <f t="shared" si="136"/>
        <v>Nivel del indicador que satisface y supera las expectativas</v>
      </c>
      <c r="AP108" s="52">
        <f t="shared" si="137"/>
        <v>156</v>
      </c>
      <c r="AQ108" s="52">
        <f t="shared" si="138"/>
        <v>39</v>
      </c>
      <c r="AR108" s="52">
        <f t="shared" si="139"/>
        <v>72.62</v>
      </c>
      <c r="AS108" s="79">
        <f t="shared" si="140"/>
        <v>1.8620512820512822</v>
      </c>
      <c r="AT108" s="79">
        <f t="shared" si="141"/>
        <v>0.4655128205128205</v>
      </c>
      <c r="AU108" s="52">
        <f t="shared" si="142"/>
        <v>78</v>
      </c>
      <c r="AV108" s="77">
        <f t="shared" si="143"/>
        <v>113.88551282051282</v>
      </c>
      <c r="AW108" s="79">
        <f t="shared" si="144"/>
        <v>1.4600706771860616</v>
      </c>
      <c r="AX108" s="79">
        <f t="shared" si="145"/>
        <v>0.73003533859303094</v>
      </c>
      <c r="AY108" s="52">
        <f t="shared" si="146"/>
        <v>117</v>
      </c>
      <c r="AZ108" s="77">
        <f t="shared" si="147"/>
        <v>489.30551282051283</v>
      </c>
      <c r="BA108" s="79">
        <f t="shared" si="148"/>
        <v>4.182098400175323</v>
      </c>
      <c r="BB108" s="79">
        <f t="shared" si="149"/>
        <v>3.1365738001314925</v>
      </c>
      <c r="BC108" s="52">
        <f t="shared" si="150"/>
        <v>156</v>
      </c>
      <c r="BD108" s="77">
        <f t="shared" si="151"/>
        <v>864.7255128205129</v>
      </c>
      <c r="BE108" s="79">
        <f t="shared" si="152"/>
        <v>5.5431122616699549</v>
      </c>
      <c r="BF108" s="79">
        <f t="shared" si="153"/>
        <v>5.5431122616699557</v>
      </c>
    </row>
    <row r="109" spans="1:60" ht="30" x14ac:dyDescent="0.25">
      <c r="A109" s="293"/>
      <c r="B109" s="95" t="s">
        <v>462</v>
      </c>
      <c r="C109" s="96" t="s">
        <v>463</v>
      </c>
      <c r="D109" s="96" t="s">
        <v>547</v>
      </c>
      <c r="E109" s="96">
        <v>340</v>
      </c>
      <c r="F109" s="206">
        <v>0.25</v>
      </c>
      <c r="G109" s="206">
        <f t="shared" si="68"/>
        <v>85</v>
      </c>
      <c r="H109" s="206">
        <v>2</v>
      </c>
      <c r="I109" s="206">
        <f t="shared" si="69"/>
        <v>170</v>
      </c>
      <c r="J109" s="206">
        <v>0.75</v>
      </c>
      <c r="K109" s="206">
        <f t="shared" si="70"/>
        <v>255</v>
      </c>
      <c r="L109" s="206">
        <v>1</v>
      </c>
      <c r="M109" s="206">
        <f t="shared" si="71"/>
        <v>340</v>
      </c>
      <c r="N109" s="131">
        <v>0.77</v>
      </c>
      <c r="O109" s="131">
        <v>0</v>
      </c>
      <c r="P109" s="131">
        <v>0</v>
      </c>
      <c r="Q109" s="193">
        <f t="shared" si="101"/>
        <v>0.77</v>
      </c>
      <c r="R109" s="59">
        <f t="shared" si="74"/>
        <v>9.058823529411765E-3</v>
      </c>
      <c r="S109" s="55" t="str">
        <f t="shared" si="62"/>
        <v>Se ha avanzado muy poco o nada en este indicador</v>
      </c>
      <c r="T109" s="163">
        <v>0</v>
      </c>
      <c r="U109" s="163">
        <v>0</v>
      </c>
      <c r="V109" s="163">
        <v>0</v>
      </c>
      <c r="W109" s="56">
        <f t="shared" si="72"/>
        <v>0.77</v>
      </c>
      <c r="X109" s="59">
        <f t="shared" si="99"/>
        <v>4.5294117647058825E-3</v>
      </c>
      <c r="Y109" s="55" t="str">
        <f t="shared" si="131"/>
        <v>Se ha avanzado muy poco o nada en este indicador</v>
      </c>
      <c r="Z109" s="57"/>
      <c r="AA109" s="57"/>
      <c r="AB109" s="245">
        <v>0</v>
      </c>
      <c r="AC109" s="243">
        <f>Z109+AA109+AB109+W109</f>
        <v>0.77</v>
      </c>
      <c r="AD109" s="59">
        <f t="shared" si="133"/>
        <v>3.019607843137255E-3</v>
      </c>
      <c r="AE109" s="55" t="str">
        <f t="shared" si="134"/>
        <v>Se ha avanzado muy poco o nada en este indicador</v>
      </c>
      <c r="AF109" s="57"/>
      <c r="AG109" s="57"/>
      <c r="AH109" s="57"/>
      <c r="AI109" s="238">
        <f t="shared" si="73"/>
        <v>0.77</v>
      </c>
      <c r="AJ109" s="59">
        <f t="shared" si="135"/>
        <v>2.2647058823529412E-3</v>
      </c>
      <c r="AK109" s="55" t="str">
        <f t="shared" si="136"/>
        <v>Se ha avanzado muy poco o nada en este indicador</v>
      </c>
      <c r="AP109" s="52">
        <f t="shared" si="137"/>
        <v>340</v>
      </c>
      <c r="AQ109" s="52">
        <f t="shared" si="138"/>
        <v>85</v>
      </c>
      <c r="AR109" s="52">
        <f t="shared" si="139"/>
        <v>0.77</v>
      </c>
      <c r="AS109" s="79">
        <f t="shared" si="140"/>
        <v>9.058823529411765E-3</v>
      </c>
      <c r="AT109" s="79">
        <f t="shared" si="141"/>
        <v>2.2647058823529412E-3</v>
      </c>
      <c r="AU109" s="52">
        <f t="shared" si="142"/>
        <v>170</v>
      </c>
      <c r="AV109" s="77">
        <f t="shared" si="143"/>
        <v>0.77226470588235296</v>
      </c>
      <c r="AW109" s="79">
        <f t="shared" si="144"/>
        <v>4.542733564013841E-3</v>
      </c>
      <c r="AX109" s="79">
        <f t="shared" si="145"/>
        <v>2.2713667820069205E-3</v>
      </c>
      <c r="AY109" s="52">
        <f t="shared" si="146"/>
        <v>255</v>
      </c>
      <c r="AZ109" s="77">
        <f t="shared" si="147"/>
        <v>1.5422647058823529</v>
      </c>
      <c r="BA109" s="79">
        <f t="shared" si="148"/>
        <v>6.0480968858131487E-3</v>
      </c>
      <c r="BB109" s="79">
        <f t="shared" si="149"/>
        <v>4.5360726643598609E-3</v>
      </c>
      <c r="BC109" s="52">
        <f t="shared" si="150"/>
        <v>340</v>
      </c>
      <c r="BD109" s="77">
        <f t="shared" si="151"/>
        <v>2.3122647058823529</v>
      </c>
      <c r="BE109" s="79">
        <f t="shared" si="152"/>
        <v>6.800778546712803E-3</v>
      </c>
      <c r="BF109" s="79">
        <f t="shared" si="153"/>
        <v>6.8007785467128021E-3</v>
      </c>
    </row>
    <row r="110" spans="1:60" ht="30" x14ac:dyDescent="0.25">
      <c r="A110" s="293"/>
      <c r="B110" s="95" t="s">
        <v>464</v>
      </c>
      <c r="C110" s="96" t="s">
        <v>465</v>
      </c>
      <c r="D110" s="96" t="s">
        <v>547</v>
      </c>
      <c r="E110" s="96">
        <v>74</v>
      </c>
      <c r="F110" s="206">
        <v>0.25</v>
      </c>
      <c r="G110" s="206">
        <f t="shared" si="68"/>
        <v>18.5</v>
      </c>
      <c r="H110" s="206">
        <v>2</v>
      </c>
      <c r="I110" s="206">
        <f t="shared" si="69"/>
        <v>37</v>
      </c>
      <c r="J110" s="206">
        <v>0.75</v>
      </c>
      <c r="K110" s="206">
        <f t="shared" si="70"/>
        <v>55.5</v>
      </c>
      <c r="L110" s="206">
        <v>1</v>
      </c>
      <c r="M110" s="206">
        <f t="shared" si="71"/>
        <v>74</v>
      </c>
      <c r="N110" s="131">
        <v>4.0999999999999996</v>
      </c>
      <c r="O110" s="131">
        <v>0</v>
      </c>
      <c r="P110" s="131">
        <v>0</v>
      </c>
      <c r="Q110" s="193">
        <f t="shared" si="101"/>
        <v>4.0999999999999996</v>
      </c>
      <c r="R110" s="59">
        <f t="shared" si="74"/>
        <v>0.22162162162162161</v>
      </c>
      <c r="S110" s="55" t="str">
        <f t="shared" si="62"/>
        <v>Nivel del indicador que cumple las expectativas</v>
      </c>
      <c r="T110" s="163">
        <v>0</v>
      </c>
      <c r="U110" s="163">
        <v>0</v>
      </c>
      <c r="V110" s="163">
        <v>1</v>
      </c>
      <c r="W110" s="56">
        <f t="shared" si="72"/>
        <v>5.0999999999999996</v>
      </c>
      <c r="X110" s="59">
        <f t="shared" si="99"/>
        <v>0.13783783783783782</v>
      </c>
      <c r="Y110" s="55" t="str">
        <f t="shared" si="131"/>
        <v>Se ha avanzado muy poco o nada en este indicador</v>
      </c>
      <c r="Z110" s="57"/>
      <c r="AA110" s="57"/>
      <c r="AB110" s="214">
        <v>18</v>
      </c>
      <c r="AC110" s="56">
        <f t="shared" si="132"/>
        <v>23.1</v>
      </c>
      <c r="AD110" s="59">
        <f t="shared" si="133"/>
        <v>0.41621621621621624</v>
      </c>
      <c r="AE110" s="55" t="str">
        <f t="shared" si="134"/>
        <v>Nivel Aceptable del Indicador</v>
      </c>
      <c r="AF110" s="57"/>
      <c r="AG110" s="57"/>
      <c r="AH110" s="57"/>
      <c r="AI110" s="238">
        <f t="shared" si="73"/>
        <v>23.1</v>
      </c>
      <c r="AJ110" s="59">
        <f t="shared" si="135"/>
        <v>0.31216216216216219</v>
      </c>
      <c r="AK110" s="55" t="str">
        <f t="shared" si="136"/>
        <v>Se ha avanzado muy poco o nada en este indicador</v>
      </c>
      <c r="AP110" s="52">
        <f t="shared" si="137"/>
        <v>74</v>
      </c>
      <c r="AQ110" s="52">
        <f t="shared" si="138"/>
        <v>18.5</v>
      </c>
      <c r="AR110" s="52">
        <f t="shared" si="139"/>
        <v>4.0999999999999996</v>
      </c>
      <c r="AS110" s="79">
        <f t="shared" si="140"/>
        <v>0.22162162162162161</v>
      </c>
      <c r="AT110" s="79">
        <f t="shared" si="141"/>
        <v>5.5405405405405395E-2</v>
      </c>
      <c r="AU110" s="52">
        <f t="shared" si="142"/>
        <v>37</v>
      </c>
      <c r="AV110" s="77">
        <f t="shared" si="143"/>
        <v>5.1554054054054053</v>
      </c>
      <c r="AW110" s="79">
        <f t="shared" si="144"/>
        <v>0.13933528122717312</v>
      </c>
      <c r="AX110" s="79">
        <f t="shared" si="145"/>
        <v>6.9667640613586559E-2</v>
      </c>
      <c r="AY110" s="52">
        <f t="shared" si="146"/>
        <v>55.5</v>
      </c>
      <c r="AZ110" s="77">
        <f t="shared" si="147"/>
        <v>28.255405405405405</v>
      </c>
      <c r="BA110" s="79">
        <f t="shared" si="148"/>
        <v>0.50910640370099824</v>
      </c>
      <c r="BB110" s="79">
        <f t="shared" si="149"/>
        <v>0.38182980277574868</v>
      </c>
      <c r="BC110" s="52">
        <f t="shared" si="150"/>
        <v>74</v>
      </c>
      <c r="BD110" s="77">
        <f t="shared" si="151"/>
        <v>51.355405405405406</v>
      </c>
      <c r="BE110" s="79">
        <f t="shared" si="152"/>
        <v>0.69399196493791093</v>
      </c>
      <c r="BF110" s="79">
        <f t="shared" si="153"/>
        <v>0.69399196493791093</v>
      </c>
    </row>
    <row r="111" spans="1:60" ht="25.5" x14ac:dyDescent="0.25">
      <c r="A111" s="293"/>
      <c r="B111" s="95" t="s">
        <v>466</v>
      </c>
      <c r="C111" s="96" t="s">
        <v>467</v>
      </c>
      <c r="D111" s="96" t="s">
        <v>548</v>
      </c>
      <c r="E111" s="57">
        <v>100</v>
      </c>
      <c r="F111" s="206">
        <v>0.25</v>
      </c>
      <c r="G111" s="206">
        <f t="shared" si="68"/>
        <v>25</v>
      </c>
      <c r="H111" s="206">
        <v>2</v>
      </c>
      <c r="I111" s="206">
        <f t="shared" si="69"/>
        <v>50</v>
      </c>
      <c r="J111" s="206">
        <v>0.75</v>
      </c>
      <c r="K111" s="206">
        <v>88</v>
      </c>
      <c r="L111" s="206">
        <v>1</v>
      </c>
      <c r="M111" s="206">
        <f t="shared" si="71"/>
        <v>100</v>
      </c>
      <c r="N111" s="131">
        <v>28.5</v>
      </c>
      <c r="O111" s="131">
        <v>0</v>
      </c>
      <c r="P111" s="131">
        <v>0</v>
      </c>
      <c r="Q111" s="193">
        <f t="shared" si="101"/>
        <v>28.5</v>
      </c>
      <c r="R111" s="59">
        <v>1</v>
      </c>
      <c r="S111" s="55" t="str">
        <f t="shared" si="62"/>
        <v>Nivel del indicador que satisface y supera las expectativas</v>
      </c>
      <c r="T111" s="163">
        <v>0</v>
      </c>
      <c r="U111" s="163">
        <v>0</v>
      </c>
      <c r="V111" s="163">
        <v>0</v>
      </c>
      <c r="W111" s="56">
        <f t="shared" si="72"/>
        <v>28.5</v>
      </c>
      <c r="X111" s="59">
        <f t="shared" si="99"/>
        <v>0.56999999999999995</v>
      </c>
      <c r="Y111" s="55" t="str">
        <f t="shared" si="131"/>
        <v>Nivel del indicador que satisface y supera las expectativas</v>
      </c>
      <c r="Z111" s="57"/>
      <c r="AA111" s="57"/>
      <c r="AB111" s="214">
        <f t="shared" si="154"/>
        <v>58.57</v>
      </c>
      <c r="AC111" s="56">
        <f t="shared" si="132"/>
        <v>87.07</v>
      </c>
      <c r="AD111" s="59">
        <f t="shared" si="133"/>
        <v>0.98943181818181813</v>
      </c>
      <c r="AE111" s="55" t="str">
        <f t="shared" si="134"/>
        <v>Nivel del indicador que satisface y supera las expectativas</v>
      </c>
      <c r="AF111" s="57"/>
      <c r="AG111" s="57"/>
      <c r="AH111" s="57"/>
      <c r="AI111" s="56">
        <f t="shared" si="73"/>
        <v>87.07</v>
      </c>
      <c r="AJ111" s="59">
        <f t="shared" si="135"/>
        <v>0.87069999999999992</v>
      </c>
      <c r="AK111" s="55" t="str">
        <f t="shared" si="136"/>
        <v>Nivel del indicador que cumple las expectativas</v>
      </c>
      <c r="AP111" s="52">
        <f t="shared" si="137"/>
        <v>100</v>
      </c>
      <c r="AQ111" s="52">
        <f t="shared" si="138"/>
        <v>25</v>
      </c>
      <c r="AR111" s="52">
        <f t="shared" si="139"/>
        <v>28.5</v>
      </c>
      <c r="AS111" s="79">
        <f t="shared" si="140"/>
        <v>1.1399999999999999</v>
      </c>
      <c r="AT111" s="79">
        <f t="shared" si="141"/>
        <v>0.28499999999999998</v>
      </c>
      <c r="AU111" s="52">
        <f t="shared" si="142"/>
        <v>50</v>
      </c>
      <c r="AV111" s="77">
        <f t="shared" si="143"/>
        <v>28.785</v>
      </c>
      <c r="AW111" s="79">
        <f t="shared" si="144"/>
        <v>0.57569999999999999</v>
      </c>
      <c r="AX111" s="79">
        <f t="shared" si="145"/>
        <v>0.28784999999999999</v>
      </c>
      <c r="AY111" s="52">
        <f t="shared" si="146"/>
        <v>75</v>
      </c>
      <c r="AZ111" s="77">
        <f t="shared" si="147"/>
        <v>115.85499999999999</v>
      </c>
      <c r="BA111" s="79">
        <f t="shared" si="148"/>
        <v>1.5447333333333333</v>
      </c>
      <c r="BB111" s="79">
        <f t="shared" si="149"/>
        <v>1.15855</v>
      </c>
      <c r="BC111" s="52">
        <f t="shared" si="150"/>
        <v>100</v>
      </c>
      <c r="BD111" s="77">
        <f t="shared" si="151"/>
        <v>202.92499999999998</v>
      </c>
      <c r="BE111" s="79">
        <f t="shared" si="152"/>
        <v>2.0292499999999998</v>
      </c>
      <c r="BF111" s="79">
        <f t="shared" si="153"/>
        <v>2.0292500000000002</v>
      </c>
    </row>
    <row r="112" spans="1:60" ht="30" x14ac:dyDescent="0.25">
      <c r="A112" s="293"/>
      <c r="B112" s="95" t="s">
        <v>468</v>
      </c>
      <c r="C112" s="96" t="s">
        <v>469</v>
      </c>
      <c r="D112" s="96" t="s">
        <v>547</v>
      </c>
      <c r="E112" s="96">
        <v>356</v>
      </c>
      <c r="F112" s="206">
        <v>0.25</v>
      </c>
      <c r="G112" s="206">
        <f t="shared" si="68"/>
        <v>89</v>
      </c>
      <c r="H112" s="206">
        <v>2</v>
      </c>
      <c r="I112" s="206">
        <f t="shared" si="69"/>
        <v>178</v>
      </c>
      <c r="J112" s="206">
        <v>0.75</v>
      </c>
      <c r="K112" s="206">
        <f t="shared" si="70"/>
        <v>267</v>
      </c>
      <c r="L112" s="206">
        <v>1</v>
      </c>
      <c r="M112" s="206">
        <f t="shared" si="71"/>
        <v>356</v>
      </c>
      <c r="N112" s="131">
        <v>34.79</v>
      </c>
      <c r="O112" s="131">
        <v>0</v>
      </c>
      <c r="P112" s="131">
        <v>0</v>
      </c>
      <c r="Q112" s="193">
        <f t="shared" si="101"/>
        <v>34.79</v>
      </c>
      <c r="R112" s="59">
        <f t="shared" si="74"/>
        <v>0.39089887640449439</v>
      </c>
      <c r="S112" s="55" t="str">
        <f t="shared" si="62"/>
        <v>Nivel del indicador que satisface y supera las expectativas</v>
      </c>
      <c r="T112" s="163">
        <v>0</v>
      </c>
      <c r="U112" s="163">
        <v>0</v>
      </c>
      <c r="V112" s="163">
        <v>0</v>
      </c>
      <c r="W112" s="56">
        <f t="shared" si="72"/>
        <v>34.79</v>
      </c>
      <c r="X112" s="59">
        <f>IF(W112&gt;0,W112/I112,"")</f>
        <v>0.19544943820224719</v>
      </c>
      <c r="Y112" s="55" t="str">
        <f t="shared" si="131"/>
        <v>Nivel Aceptable del Indicador</v>
      </c>
      <c r="Z112" s="57"/>
      <c r="AA112" s="57"/>
      <c r="AB112" s="214">
        <v>126</v>
      </c>
      <c r="AC112" s="56">
        <f t="shared" si="132"/>
        <v>160.79</v>
      </c>
      <c r="AD112" s="59">
        <f t="shared" si="133"/>
        <v>0.60220973782771536</v>
      </c>
      <c r="AE112" s="55" t="str">
        <f t="shared" si="134"/>
        <v>Nivel del indicador que cumple las expectativas</v>
      </c>
      <c r="AF112" s="57"/>
      <c r="AG112" s="57"/>
      <c r="AH112" s="57"/>
      <c r="AI112" s="238">
        <f t="shared" si="73"/>
        <v>160.79</v>
      </c>
      <c r="AJ112" s="59">
        <f t="shared" si="135"/>
        <v>0.45165730337078647</v>
      </c>
      <c r="AK112" s="55" t="str">
        <f t="shared" si="136"/>
        <v>Nivel Aceptable del Indicador</v>
      </c>
      <c r="AP112" s="52">
        <f t="shared" si="137"/>
        <v>356</v>
      </c>
      <c r="AQ112" s="52">
        <f t="shared" si="138"/>
        <v>89</v>
      </c>
      <c r="AR112" s="52">
        <f t="shared" si="139"/>
        <v>34.79</v>
      </c>
      <c r="AS112" s="79">
        <f t="shared" si="140"/>
        <v>0.39089887640449439</v>
      </c>
      <c r="AT112" s="79">
        <f t="shared" si="141"/>
        <v>9.7724719101123597E-2</v>
      </c>
      <c r="AU112" s="52">
        <f t="shared" si="142"/>
        <v>178</v>
      </c>
      <c r="AV112" s="77">
        <f t="shared" si="143"/>
        <v>34.887724719101122</v>
      </c>
      <c r="AW112" s="79">
        <f t="shared" si="144"/>
        <v>0.19599845347809619</v>
      </c>
      <c r="AX112" s="79">
        <f t="shared" si="145"/>
        <v>9.7999226739048095E-2</v>
      </c>
      <c r="AY112" s="52">
        <f t="shared" si="146"/>
        <v>267</v>
      </c>
      <c r="AZ112" s="77">
        <f t="shared" si="147"/>
        <v>195.67772471910112</v>
      </c>
      <c r="BA112" s="79">
        <f t="shared" si="148"/>
        <v>0.73287537347977949</v>
      </c>
      <c r="BB112" s="79">
        <f t="shared" si="149"/>
        <v>0.54965653010983462</v>
      </c>
      <c r="BC112" s="52">
        <f t="shared" si="150"/>
        <v>356</v>
      </c>
      <c r="BD112" s="77">
        <f t="shared" si="151"/>
        <v>356.46772471910111</v>
      </c>
      <c r="BE112" s="79">
        <f t="shared" si="152"/>
        <v>1.0013138334806211</v>
      </c>
      <c r="BF112" s="79">
        <f t="shared" si="153"/>
        <v>1.0013138334806211</v>
      </c>
    </row>
    <row r="113" spans="1:58" ht="30" x14ac:dyDescent="0.25">
      <c r="A113" s="294"/>
      <c r="B113" s="95" t="s">
        <v>470</v>
      </c>
      <c r="C113" s="96" t="s">
        <v>471</v>
      </c>
      <c r="D113" s="96" t="s">
        <v>547</v>
      </c>
      <c r="E113" s="96">
        <v>350</v>
      </c>
      <c r="F113" s="206">
        <v>0.25</v>
      </c>
      <c r="G113" s="206">
        <f t="shared" si="68"/>
        <v>87.5</v>
      </c>
      <c r="H113" s="206">
        <v>2</v>
      </c>
      <c r="I113" s="206">
        <f t="shared" si="69"/>
        <v>175</v>
      </c>
      <c r="J113" s="206">
        <v>0.75</v>
      </c>
      <c r="K113" s="206">
        <f t="shared" si="70"/>
        <v>262.5</v>
      </c>
      <c r="L113" s="206">
        <v>1</v>
      </c>
      <c r="M113" s="206">
        <f t="shared" si="71"/>
        <v>350</v>
      </c>
      <c r="N113" s="131">
        <v>72.5</v>
      </c>
      <c r="O113" s="131">
        <v>0</v>
      </c>
      <c r="P113" s="131">
        <v>0</v>
      </c>
      <c r="Q113" s="193">
        <f t="shared" si="101"/>
        <v>72.5</v>
      </c>
      <c r="R113" s="59">
        <f t="shared" si="74"/>
        <v>0.82857142857142863</v>
      </c>
      <c r="S113" s="55" t="str">
        <f t="shared" si="62"/>
        <v>Nivel del indicador que satisface y supera las expectativas</v>
      </c>
      <c r="T113" s="163">
        <v>0</v>
      </c>
      <c r="U113" s="163">
        <v>0</v>
      </c>
      <c r="V113" s="163">
        <v>181</v>
      </c>
      <c r="W113" s="56">
        <f>T113+U113+V113+Q113</f>
        <v>253.5</v>
      </c>
      <c r="X113" s="59">
        <v>1</v>
      </c>
      <c r="Y113" s="55" t="str">
        <f t="shared" si="131"/>
        <v>Nivel del indicador que satisface y supera las expectativas</v>
      </c>
      <c r="Z113" s="57"/>
      <c r="AA113" s="57"/>
      <c r="AB113" s="56">
        <v>300</v>
      </c>
      <c r="AC113" s="56">
        <f t="shared" si="132"/>
        <v>553.5</v>
      </c>
      <c r="AD113" s="59">
        <v>1</v>
      </c>
      <c r="AE113" s="55" t="str">
        <f t="shared" si="134"/>
        <v>Nivel del indicador que satisface y supera las expectativas</v>
      </c>
      <c r="AF113" s="57"/>
      <c r="AG113" s="57"/>
      <c r="AH113" s="57"/>
      <c r="AI113" s="56">
        <f t="shared" si="73"/>
        <v>553.5</v>
      </c>
      <c r="AJ113" s="59">
        <f t="shared" si="135"/>
        <v>1.5814285714285714</v>
      </c>
      <c r="AK113" s="55" t="str">
        <f t="shared" si="136"/>
        <v>Nivel del indicador que satisface y supera las expectativas</v>
      </c>
      <c r="AP113" s="52">
        <f t="shared" si="137"/>
        <v>350</v>
      </c>
      <c r="AQ113" s="52">
        <f t="shared" si="138"/>
        <v>87.5</v>
      </c>
      <c r="AR113" s="52">
        <f t="shared" si="139"/>
        <v>72.5</v>
      </c>
      <c r="AS113" s="79">
        <f t="shared" si="140"/>
        <v>0.82857142857142863</v>
      </c>
      <c r="AT113" s="79">
        <f t="shared" si="141"/>
        <v>0.20714285714285716</v>
      </c>
      <c r="AU113" s="52">
        <f t="shared" si="142"/>
        <v>175</v>
      </c>
      <c r="AV113" s="77">
        <f t="shared" si="143"/>
        <v>253.70714285714286</v>
      </c>
      <c r="AW113" s="79">
        <f t="shared" si="144"/>
        <v>1.4497551020408164</v>
      </c>
      <c r="AX113" s="79">
        <f t="shared" si="145"/>
        <v>0.72487755102040818</v>
      </c>
      <c r="AY113" s="52">
        <f t="shared" si="146"/>
        <v>262.5</v>
      </c>
      <c r="AZ113" s="77">
        <f t="shared" si="147"/>
        <v>807.2071428571428</v>
      </c>
      <c r="BA113" s="79">
        <f t="shared" si="148"/>
        <v>3.0750748299319728</v>
      </c>
      <c r="BB113" s="79">
        <f t="shared" si="149"/>
        <v>2.3063061224489796</v>
      </c>
      <c r="BC113" s="52">
        <f t="shared" si="150"/>
        <v>350</v>
      </c>
      <c r="BD113" s="77">
        <f t="shared" si="151"/>
        <v>1360.7071428571428</v>
      </c>
      <c r="BE113" s="79">
        <f t="shared" si="152"/>
        <v>3.887734693877551</v>
      </c>
      <c r="BF113" s="79">
        <f t="shared" si="153"/>
        <v>3.8877346938775514</v>
      </c>
    </row>
    <row r="114" spans="1:58" ht="30" x14ac:dyDescent="0.25">
      <c r="A114" s="292" t="s">
        <v>472</v>
      </c>
      <c r="B114" s="95" t="s">
        <v>473</v>
      </c>
      <c r="C114" s="96" t="s">
        <v>474</v>
      </c>
      <c r="D114" s="96" t="s">
        <v>547</v>
      </c>
      <c r="E114" s="96">
        <v>60</v>
      </c>
      <c r="F114" s="206">
        <v>0.25</v>
      </c>
      <c r="G114" s="206">
        <f t="shared" si="68"/>
        <v>15</v>
      </c>
      <c r="H114" s="206">
        <v>2</v>
      </c>
      <c r="I114" s="206">
        <f t="shared" si="69"/>
        <v>30</v>
      </c>
      <c r="J114" s="206">
        <v>0.75</v>
      </c>
      <c r="K114" s="206">
        <f t="shared" si="70"/>
        <v>45</v>
      </c>
      <c r="L114" s="206">
        <v>1</v>
      </c>
      <c r="M114" s="206">
        <f t="shared" si="71"/>
        <v>60</v>
      </c>
      <c r="N114" s="131">
        <v>96.6</v>
      </c>
      <c r="O114" s="131">
        <v>0</v>
      </c>
      <c r="P114" s="131">
        <v>0</v>
      </c>
      <c r="Q114" s="193">
        <f t="shared" si="101"/>
        <v>96.6</v>
      </c>
      <c r="R114" s="59">
        <v>1</v>
      </c>
      <c r="S114" s="55" t="str">
        <f t="shared" si="62"/>
        <v>Nivel del indicador que satisface y supera las expectativas</v>
      </c>
      <c r="T114" s="163">
        <v>0</v>
      </c>
      <c r="U114" s="163">
        <v>2.1</v>
      </c>
      <c r="V114" s="163">
        <v>0</v>
      </c>
      <c r="W114" s="56">
        <f t="shared" si="72"/>
        <v>98.699999999999989</v>
      </c>
      <c r="X114" s="59">
        <v>1</v>
      </c>
      <c r="Y114" s="55" t="str">
        <f t="shared" si="131"/>
        <v>Nivel del indicador que satisface y supera las expectativas</v>
      </c>
      <c r="Z114" s="57"/>
      <c r="AA114" s="57"/>
      <c r="AB114" s="214">
        <f t="shared" si="154"/>
        <v>199.39999999999998</v>
      </c>
      <c r="AC114" s="56">
        <f t="shared" si="132"/>
        <v>298.09999999999997</v>
      </c>
      <c r="AD114" s="59">
        <v>1</v>
      </c>
      <c r="AE114" s="55" t="str">
        <f t="shared" si="134"/>
        <v>Nivel del indicador que satisface y supera las expectativas</v>
      </c>
      <c r="AF114" s="57"/>
      <c r="AG114" s="57"/>
      <c r="AH114" s="57"/>
      <c r="AI114" s="56">
        <f t="shared" si="73"/>
        <v>298.09999999999997</v>
      </c>
      <c r="AJ114" s="59">
        <f t="shared" si="135"/>
        <v>4.9683333333333328</v>
      </c>
      <c r="AK114" s="55" t="str">
        <f t="shared" si="136"/>
        <v>Nivel del indicador que satisface y supera las expectativas</v>
      </c>
      <c r="AP114" s="52">
        <f t="shared" si="137"/>
        <v>60</v>
      </c>
      <c r="AQ114" s="52">
        <f t="shared" si="138"/>
        <v>15</v>
      </c>
      <c r="AR114" s="52">
        <f t="shared" si="139"/>
        <v>96.6</v>
      </c>
      <c r="AS114" s="79">
        <f t="shared" si="140"/>
        <v>6.4399999999999995</v>
      </c>
      <c r="AT114" s="79">
        <f t="shared" si="141"/>
        <v>1.61</v>
      </c>
      <c r="AU114" s="52">
        <f t="shared" si="142"/>
        <v>30</v>
      </c>
      <c r="AV114" s="77">
        <f t="shared" si="143"/>
        <v>100.30999999999999</v>
      </c>
      <c r="AW114" s="79">
        <f t="shared" si="144"/>
        <v>3.3436666666666661</v>
      </c>
      <c r="AX114" s="79">
        <f t="shared" si="145"/>
        <v>1.6718333333333331</v>
      </c>
      <c r="AY114" s="52">
        <f t="shared" si="146"/>
        <v>45</v>
      </c>
      <c r="AZ114" s="77">
        <f t="shared" si="147"/>
        <v>398.40999999999997</v>
      </c>
      <c r="BA114" s="79">
        <f t="shared" si="148"/>
        <v>8.8535555555555554</v>
      </c>
      <c r="BB114" s="79">
        <f t="shared" si="149"/>
        <v>6.6401666666666657</v>
      </c>
      <c r="BC114" s="52">
        <f t="shared" si="150"/>
        <v>60</v>
      </c>
      <c r="BD114" s="77">
        <f t="shared" si="151"/>
        <v>696.51</v>
      </c>
      <c r="BE114" s="79">
        <f t="shared" si="152"/>
        <v>11.608499999999999</v>
      </c>
      <c r="BF114" s="79">
        <f t="shared" si="153"/>
        <v>11.608499999999999</v>
      </c>
    </row>
    <row r="115" spans="1:58" ht="30" x14ac:dyDescent="0.25">
      <c r="A115" s="293"/>
      <c r="B115" s="95" t="s">
        <v>475</v>
      </c>
      <c r="C115" s="96" t="s">
        <v>476</v>
      </c>
      <c r="D115" s="96" t="s">
        <v>547</v>
      </c>
      <c r="E115" s="96">
        <v>75</v>
      </c>
      <c r="F115" s="206">
        <v>0.25</v>
      </c>
      <c r="G115" s="206">
        <f t="shared" si="68"/>
        <v>18.75</v>
      </c>
      <c r="H115" s="206">
        <v>2</v>
      </c>
      <c r="I115" s="206">
        <f t="shared" si="69"/>
        <v>37.5</v>
      </c>
      <c r="J115" s="206">
        <v>0.75</v>
      </c>
      <c r="K115" s="206">
        <f t="shared" si="70"/>
        <v>56.25</v>
      </c>
      <c r="L115" s="206">
        <v>1</v>
      </c>
      <c r="M115" s="206">
        <f t="shared" si="71"/>
        <v>75</v>
      </c>
      <c r="N115" s="131">
        <v>94.6</v>
      </c>
      <c r="O115" s="131">
        <v>0</v>
      </c>
      <c r="P115" s="131">
        <v>0</v>
      </c>
      <c r="Q115" s="193">
        <f t="shared" si="101"/>
        <v>94.6</v>
      </c>
      <c r="R115" s="59">
        <v>1</v>
      </c>
      <c r="S115" s="55" t="str">
        <f t="shared" si="62"/>
        <v>Nivel del indicador que satisface y supera las expectativas</v>
      </c>
      <c r="T115" s="163">
        <v>0</v>
      </c>
      <c r="U115" s="163">
        <v>4.5</v>
      </c>
      <c r="V115" s="163">
        <v>0</v>
      </c>
      <c r="W115" s="56">
        <f>T115+U115+V115+Q115</f>
        <v>99.1</v>
      </c>
      <c r="X115" s="59">
        <v>1</v>
      </c>
      <c r="Y115" s="55" t="str">
        <f t="shared" si="131"/>
        <v>Nivel del indicador que satisface y supera las expectativas</v>
      </c>
      <c r="Z115" s="57"/>
      <c r="AA115" s="57"/>
      <c r="AB115" s="214">
        <f>+SUM(P115:AA115)</f>
        <v>200.2</v>
      </c>
      <c r="AC115" s="56">
        <f>Z115+AA115+AB115+W115</f>
        <v>299.29999999999995</v>
      </c>
      <c r="AD115" s="59">
        <v>1</v>
      </c>
      <c r="AE115" s="55" t="str">
        <f t="shared" si="134"/>
        <v>Nivel del indicador que satisface y supera las expectativas</v>
      </c>
      <c r="AF115" s="57"/>
      <c r="AG115" s="57"/>
      <c r="AH115" s="57"/>
      <c r="AI115" s="56">
        <f t="shared" si="73"/>
        <v>299.29999999999995</v>
      </c>
      <c r="AJ115" s="59">
        <f t="shared" si="135"/>
        <v>3.9906666666666659</v>
      </c>
      <c r="AK115" s="55" t="str">
        <f t="shared" si="136"/>
        <v>Nivel del indicador que satisface y supera las expectativas</v>
      </c>
      <c r="AP115" s="52">
        <f t="shared" si="137"/>
        <v>75</v>
      </c>
      <c r="AQ115" s="52">
        <f t="shared" si="138"/>
        <v>18.75</v>
      </c>
      <c r="AR115" s="52">
        <f t="shared" si="139"/>
        <v>94.6</v>
      </c>
      <c r="AS115" s="79">
        <f t="shared" si="140"/>
        <v>5.0453333333333328</v>
      </c>
      <c r="AT115" s="79">
        <f t="shared" si="141"/>
        <v>1.2613333333333334</v>
      </c>
      <c r="AU115" s="52">
        <f t="shared" si="142"/>
        <v>37.5</v>
      </c>
      <c r="AV115" s="77">
        <f t="shared" si="143"/>
        <v>100.36133333333333</v>
      </c>
      <c r="AW115" s="79">
        <f t="shared" si="144"/>
        <v>2.6763022222222221</v>
      </c>
      <c r="AX115" s="79">
        <f t="shared" si="145"/>
        <v>1.3381511111111113</v>
      </c>
      <c r="AY115" s="52">
        <f t="shared" si="146"/>
        <v>56.25</v>
      </c>
      <c r="AZ115" s="77">
        <f t="shared" si="147"/>
        <v>399.66133333333329</v>
      </c>
      <c r="BA115" s="79">
        <f t="shared" si="148"/>
        <v>7.1050903703703696</v>
      </c>
      <c r="BB115" s="79">
        <f t="shared" si="149"/>
        <v>5.3288177777777763</v>
      </c>
      <c r="BC115" s="52">
        <f t="shared" si="150"/>
        <v>75</v>
      </c>
      <c r="BD115" s="77">
        <f t="shared" si="151"/>
        <v>698.96133333333319</v>
      </c>
      <c r="BE115" s="79">
        <f t="shared" si="152"/>
        <v>9.3194844444444431</v>
      </c>
      <c r="BF115" s="79">
        <f t="shared" si="153"/>
        <v>9.3194844444444431</v>
      </c>
    </row>
    <row r="116" spans="1:58" ht="30" x14ac:dyDescent="0.25">
      <c r="A116" s="293"/>
      <c r="B116" s="95" t="s">
        <v>477</v>
      </c>
      <c r="C116" s="96" t="s">
        <v>478</v>
      </c>
      <c r="D116" s="96" t="s">
        <v>547</v>
      </c>
      <c r="E116" s="96">
        <v>20</v>
      </c>
      <c r="F116" s="206">
        <v>0.25</v>
      </c>
      <c r="G116" s="206">
        <f t="shared" si="68"/>
        <v>5</v>
      </c>
      <c r="H116" s="206">
        <v>2</v>
      </c>
      <c r="I116" s="206">
        <f t="shared" si="69"/>
        <v>10</v>
      </c>
      <c r="J116" s="206">
        <v>0.75</v>
      </c>
      <c r="K116" s="206">
        <f t="shared" si="70"/>
        <v>15</v>
      </c>
      <c r="L116" s="206">
        <v>1</v>
      </c>
      <c r="M116" s="206">
        <f t="shared" si="71"/>
        <v>20</v>
      </c>
      <c r="N116" s="131">
        <v>0</v>
      </c>
      <c r="O116" s="131">
        <v>0</v>
      </c>
      <c r="P116" s="131">
        <v>0</v>
      </c>
      <c r="Q116" s="193">
        <f t="shared" si="101"/>
        <v>0</v>
      </c>
      <c r="R116" s="59" t="str">
        <f t="shared" si="74"/>
        <v/>
      </c>
      <c r="S116" s="55" t="str">
        <f t="shared" si="62"/>
        <v>¡¡Ojo No se Ejecutaron Actividades!!</v>
      </c>
      <c r="T116" s="163">
        <v>0</v>
      </c>
      <c r="U116" s="163">
        <v>0</v>
      </c>
      <c r="V116" s="163">
        <v>0</v>
      </c>
      <c r="W116" s="56">
        <f t="shared" si="72"/>
        <v>0</v>
      </c>
      <c r="X116" s="59" t="str">
        <f t="shared" si="99"/>
        <v/>
      </c>
      <c r="Y116" s="55" t="str">
        <f t="shared" si="131"/>
        <v>¡¡Ojo No se Ejecutaron Actividades!!</v>
      </c>
      <c r="Z116" s="57"/>
      <c r="AA116" s="57"/>
      <c r="AB116" s="214">
        <f t="shared" si="154"/>
        <v>0</v>
      </c>
      <c r="AC116" s="56">
        <f t="shared" si="132"/>
        <v>0</v>
      </c>
      <c r="AD116" s="59" t="str">
        <f t="shared" si="133"/>
        <v/>
      </c>
      <c r="AE116" s="55" t="str">
        <f>IF(AND(E116&gt;0,AC116=0),"¡¡Ojo No se Ejecutaron Actividades!!",IF(AD116="","",IF(AD116&lt;24.99%,"Se ha avanzado muy poco o nada en este indicador",IF(AD116&lt;=55.99%,"Nivel Aceptable del Indicador",IF(AD116&lt;=74.99%,"Nivel del indicador que cumple las expectativas","Nivel del indicador que satisface y supera las expectativas")))))</f>
        <v>¡¡Ojo No se Ejecutaron Actividades!!</v>
      </c>
      <c r="AF116" s="57"/>
      <c r="AG116" s="57"/>
      <c r="AH116" s="57"/>
      <c r="AI116" s="56">
        <f t="shared" si="73"/>
        <v>0</v>
      </c>
      <c r="AJ116" s="59" t="str">
        <f t="shared" si="135"/>
        <v/>
      </c>
      <c r="AK116" s="55" t="str">
        <f t="shared" si="136"/>
        <v>¡¡Ojo No se Ejecutaron Actividades!!</v>
      </c>
      <c r="AN116" t="s">
        <v>205</v>
      </c>
      <c r="AO116" t="s">
        <v>206</v>
      </c>
      <c r="AP116" s="52">
        <f t="shared" si="137"/>
        <v>20</v>
      </c>
      <c r="AQ116" s="52">
        <f t="shared" si="138"/>
        <v>5</v>
      </c>
      <c r="AR116" s="52">
        <f t="shared" si="139"/>
        <v>0</v>
      </c>
      <c r="AS116" s="79">
        <f t="shared" si="140"/>
        <v>0</v>
      </c>
      <c r="AT116" s="79">
        <f t="shared" si="141"/>
        <v>0</v>
      </c>
      <c r="AU116" s="52">
        <f t="shared" si="142"/>
        <v>10</v>
      </c>
      <c r="AV116" s="77">
        <f t="shared" si="143"/>
        <v>0</v>
      </c>
      <c r="AW116" s="79">
        <f t="shared" si="144"/>
        <v>0</v>
      </c>
      <c r="AX116" s="79">
        <f t="shared" si="145"/>
        <v>0</v>
      </c>
      <c r="AY116" s="52">
        <f t="shared" si="146"/>
        <v>15</v>
      </c>
      <c r="AZ116" s="77">
        <f t="shared" si="147"/>
        <v>0</v>
      </c>
      <c r="BA116" s="79">
        <f t="shared" si="148"/>
        <v>0</v>
      </c>
      <c r="BB116" s="79">
        <f t="shared" si="149"/>
        <v>0</v>
      </c>
      <c r="BC116" s="52">
        <f t="shared" si="150"/>
        <v>20</v>
      </c>
      <c r="BD116" s="77">
        <f t="shared" si="151"/>
        <v>0</v>
      </c>
      <c r="BE116" s="79">
        <f t="shared" si="152"/>
        <v>0</v>
      </c>
      <c r="BF116" s="79">
        <f t="shared" si="153"/>
        <v>0</v>
      </c>
    </row>
    <row r="117" spans="1:58" ht="30" x14ac:dyDescent="0.25">
      <c r="A117" s="293"/>
      <c r="B117" s="95" t="s">
        <v>479</v>
      </c>
      <c r="C117" s="96" t="s">
        <v>480</v>
      </c>
      <c r="D117" s="96" t="s">
        <v>547</v>
      </c>
      <c r="E117" s="96">
        <v>50</v>
      </c>
      <c r="F117" s="206">
        <v>0.25</v>
      </c>
      <c r="G117" s="206">
        <f t="shared" si="68"/>
        <v>12.5</v>
      </c>
      <c r="H117" s="206">
        <v>2</v>
      </c>
      <c r="I117" s="206">
        <f t="shared" si="69"/>
        <v>25</v>
      </c>
      <c r="J117" s="206">
        <v>0.75</v>
      </c>
      <c r="K117" s="206">
        <f t="shared" si="70"/>
        <v>37.5</v>
      </c>
      <c r="L117" s="206">
        <v>1</v>
      </c>
      <c r="M117" s="206">
        <f t="shared" si="71"/>
        <v>50</v>
      </c>
      <c r="N117" s="131">
        <v>0</v>
      </c>
      <c r="O117" s="131">
        <v>0</v>
      </c>
      <c r="P117" s="193">
        <v>0</v>
      </c>
      <c r="Q117" s="193">
        <f t="shared" si="101"/>
        <v>0</v>
      </c>
      <c r="R117" s="59" t="str">
        <f t="shared" si="74"/>
        <v/>
      </c>
      <c r="S117" s="55" t="str">
        <f t="shared" si="62"/>
        <v>¡¡Ojo No se Ejecutaron Actividades!!</v>
      </c>
      <c r="T117" s="163">
        <v>0</v>
      </c>
      <c r="U117" s="163">
        <v>0</v>
      </c>
      <c r="V117" s="163">
        <v>0</v>
      </c>
      <c r="W117" s="56">
        <f t="shared" si="72"/>
        <v>0</v>
      </c>
      <c r="X117" s="59" t="str">
        <f t="shared" si="99"/>
        <v/>
      </c>
      <c r="Y117" s="55" t="str">
        <f t="shared" si="131"/>
        <v>¡¡Ojo No se Ejecutaron Actividades!!</v>
      </c>
      <c r="Z117" s="57"/>
      <c r="AA117" s="57"/>
      <c r="AB117" s="214">
        <f t="shared" si="154"/>
        <v>0</v>
      </c>
      <c r="AC117" s="56">
        <f t="shared" si="132"/>
        <v>0</v>
      </c>
      <c r="AD117" s="59" t="str">
        <f t="shared" ref="AD117:AD121" si="155">IFERROR((IF(AC117&gt;0,AC117/K117,"")),0)</f>
        <v/>
      </c>
      <c r="AE117" s="55" t="str">
        <f t="shared" ref="AE117:AE121" si="156">IF(AND(E117&gt;0,AC117=0),"¡¡Ojo No se Ejecutaron Actividades!!",IF(AD117="","",IF(AD117&lt;24.99%,"Se ha avanzado muy poco o nada en este indicador",IF(AD117&lt;=55.99%,"Nivel Aceptable del Indicador",IF(AD117&lt;=74.99%,"Nivel del indicador que cumple las expectativas","Nivel del indicador que satisface y supera las expectativas")))))</f>
        <v>¡¡Ojo No se Ejecutaron Actividades!!</v>
      </c>
      <c r="AF117" s="57"/>
      <c r="AG117" s="57"/>
      <c r="AH117" s="57"/>
      <c r="AI117" s="56">
        <f t="shared" si="73"/>
        <v>0</v>
      </c>
      <c r="AJ117" s="59" t="str">
        <f t="shared" si="135"/>
        <v/>
      </c>
      <c r="AK117" s="55" t="str">
        <f t="shared" si="136"/>
        <v>¡¡Ojo No se Ejecutaron Actividades!!</v>
      </c>
      <c r="AP117" s="52">
        <f t="shared" si="137"/>
        <v>50</v>
      </c>
      <c r="AQ117" s="52">
        <f t="shared" si="138"/>
        <v>12.5</v>
      </c>
      <c r="AR117" s="52">
        <f t="shared" si="139"/>
        <v>0</v>
      </c>
      <c r="AS117" s="79">
        <f t="shared" si="140"/>
        <v>0</v>
      </c>
      <c r="AT117" s="79">
        <f t="shared" si="141"/>
        <v>0</v>
      </c>
      <c r="AU117" s="52">
        <f t="shared" si="142"/>
        <v>25</v>
      </c>
      <c r="AV117" s="77">
        <f t="shared" si="143"/>
        <v>0</v>
      </c>
      <c r="AW117" s="79">
        <f t="shared" si="144"/>
        <v>0</v>
      </c>
      <c r="AX117" s="79">
        <f t="shared" si="145"/>
        <v>0</v>
      </c>
      <c r="AY117" s="52">
        <f t="shared" si="146"/>
        <v>37.5</v>
      </c>
      <c r="AZ117" s="77">
        <f t="shared" si="147"/>
        <v>0</v>
      </c>
      <c r="BA117" s="79">
        <f t="shared" si="148"/>
        <v>0</v>
      </c>
      <c r="BB117" s="79">
        <f t="shared" si="149"/>
        <v>0</v>
      </c>
      <c r="BC117" s="52">
        <f t="shared" si="150"/>
        <v>50</v>
      </c>
      <c r="BD117" s="77">
        <f t="shared" si="151"/>
        <v>0</v>
      </c>
      <c r="BE117" s="79">
        <f t="shared" si="152"/>
        <v>0</v>
      </c>
      <c r="BF117" s="79">
        <f t="shared" si="153"/>
        <v>0</v>
      </c>
    </row>
    <row r="118" spans="1:58" ht="30" x14ac:dyDescent="0.25">
      <c r="A118" s="293"/>
      <c r="B118" s="95" t="s">
        <v>481</v>
      </c>
      <c r="C118" s="96" t="s">
        <v>482</v>
      </c>
      <c r="D118" s="96" t="s">
        <v>732</v>
      </c>
      <c r="E118" s="96">
        <v>100</v>
      </c>
      <c r="F118" s="206">
        <v>0.25</v>
      </c>
      <c r="G118" s="206">
        <f t="shared" si="68"/>
        <v>25</v>
      </c>
      <c r="H118" s="206">
        <v>2</v>
      </c>
      <c r="I118" s="206">
        <f t="shared" si="69"/>
        <v>50</v>
      </c>
      <c r="J118" s="206">
        <v>0.75</v>
      </c>
      <c r="K118" s="206">
        <f t="shared" si="70"/>
        <v>75</v>
      </c>
      <c r="L118" s="206">
        <v>1</v>
      </c>
      <c r="M118" s="206">
        <f t="shared" si="71"/>
        <v>100</v>
      </c>
      <c r="N118" s="131">
        <v>20</v>
      </c>
      <c r="O118" s="131">
        <v>20</v>
      </c>
      <c r="P118" s="131">
        <v>10</v>
      </c>
      <c r="Q118" s="57">
        <f t="shared" ref="Q118:Q121" si="157">N118+O118+P118</f>
        <v>50</v>
      </c>
      <c r="R118" s="59">
        <v>1</v>
      </c>
      <c r="S118" s="55" t="str">
        <f t="shared" ref="S118" si="158">IF(AND(E118&gt;0,Q118=0),"¡¡Ojo No se Ejecutaron Actividades!!",IF(R118="","",IF(R118&lt;8.99%,"Se ha avanzado muy poco o nada en este indicador",IF(R118&lt;=19.99%,"Nivel Aceptable del Indicador",IF(R118&lt;=24.99%,"Nivel del indicador que cumple las expectativas","Nivel del indicador que satisface y supera las expectativas")))))</f>
        <v>Nivel del indicador que satisface y supera las expectativas</v>
      </c>
      <c r="T118" s="163">
        <v>8.3000000000000007</v>
      </c>
      <c r="U118" s="163">
        <v>8.3000000000000007</v>
      </c>
      <c r="V118" s="163">
        <v>8.3000000000000007</v>
      </c>
      <c r="W118" s="56">
        <f t="shared" si="72"/>
        <v>74.900000000000006</v>
      </c>
      <c r="X118" s="59">
        <v>1</v>
      </c>
      <c r="Y118" s="55" t="str">
        <f t="shared" si="131"/>
        <v>Nivel del indicador que satisface y supera las expectativas</v>
      </c>
      <c r="Z118" s="57"/>
      <c r="AA118" s="57"/>
      <c r="AB118" s="56">
        <f>+SUM(P118:AA118)</f>
        <v>161.80000000000001</v>
      </c>
      <c r="AC118" s="56">
        <f t="shared" si="132"/>
        <v>236.70000000000002</v>
      </c>
      <c r="AD118" s="59">
        <v>1</v>
      </c>
      <c r="AE118" s="55" t="str">
        <f t="shared" si="156"/>
        <v>Nivel del indicador que satisface y supera las expectativas</v>
      </c>
      <c r="AF118" s="57"/>
      <c r="AG118" s="57"/>
      <c r="AH118" s="57"/>
      <c r="AI118" s="56">
        <f t="shared" si="73"/>
        <v>236.70000000000002</v>
      </c>
      <c r="AJ118" s="59">
        <f t="shared" si="135"/>
        <v>2.367</v>
      </c>
      <c r="AK118" s="55" t="str">
        <f t="shared" si="136"/>
        <v>Nivel del indicador que satisface y supera las expectativas</v>
      </c>
      <c r="AP118" s="52">
        <f t="shared" si="137"/>
        <v>100</v>
      </c>
      <c r="AQ118" s="52">
        <f t="shared" si="138"/>
        <v>25</v>
      </c>
      <c r="AR118" s="52">
        <f t="shared" si="139"/>
        <v>50</v>
      </c>
      <c r="AS118" s="79">
        <f t="shared" si="140"/>
        <v>2</v>
      </c>
      <c r="AT118" s="79">
        <f t="shared" si="141"/>
        <v>0.5</v>
      </c>
      <c r="AU118" s="52">
        <f t="shared" si="142"/>
        <v>50</v>
      </c>
      <c r="AV118" s="77">
        <f t="shared" si="143"/>
        <v>75.400000000000006</v>
      </c>
      <c r="AW118" s="79">
        <f t="shared" si="144"/>
        <v>1.508</v>
      </c>
      <c r="AX118" s="79">
        <f t="shared" si="145"/>
        <v>0.754</v>
      </c>
      <c r="AY118" s="52">
        <f t="shared" si="146"/>
        <v>75</v>
      </c>
      <c r="AZ118" s="77">
        <f t="shared" si="147"/>
        <v>312.10000000000002</v>
      </c>
      <c r="BA118" s="79">
        <f t="shared" si="148"/>
        <v>4.1613333333333333</v>
      </c>
      <c r="BB118" s="79">
        <f t="shared" si="149"/>
        <v>3.1210000000000004</v>
      </c>
      <c r="BC118" s="52">
        <f t="shared" si="150"/>
        <v>100</v>
      </c>
      <c r="BD118" s="77">
        <f t="shared" si="151"/>
        <v>548.80000000000007</v>
      </c>
      <c r="BE118" s="79">
        <f t="shared" si="152"/>
        <v>5.4880000000000004</v>
      </c>
      <c r="BF118" s="79">
        <f t="shared" si="153"/>
        <v>5.4880000000000004</v>
      </c>
    </row>
    <row r="119" spans="1:58" s="239" customFormat="1" ht="27.75" customHeight="1" x14ac:dyDescent="0.25">
      <c r="A119" s="294"/>
      <c r="B119" s="233" t="s">
        <v>846</v>
      </c>
      <c r="C119" s="234" t="s">
        <v>847</v>
      </c>
      <c r="D119" s="213" t="s">
        <v>547</v>
      </c>
      <c r="E119" s="234">
        <v>32.85</v>
      </c>
      <c r="F119" s="213">
        <v>0.25</v>
      </c>
      <c r="G119" s="213">
        <f t="shared" ref="G119" si="159">+E119*F119</f>
        <v>8.2125000000000004</v>
      </c>
      <c r="H119" s="213">
        <v>2</v>
      </c>
      <c r="I119" s="213">
        <f>+E119/H119</f>
        <v>16.425000000000001</v>
      </c>
      <c r="J119" s="213">
        <v>0.75</v>
      </c>
      <c r="K119" s="213">
        <f>+J119*E119</f>
        <v>24.637500000000003</v>
      </c>
      <c r="L119" s="213">
        <v>1</v>
      </c>
      <c r="M119" s="213">
        <f t="shared" ref="M119" si="160">+L119*E119</f>
        <v>32.85</v>
      </c>
      <c r="N119" s="235"/>
      <c r="O119" s="235"/>
      <c r="P119" s="235"/>
      <c r="Q119" s="235"/>
      <c r="R119" s="236"/>
      <c r="S119" s="237"/>
      <c r="T119" s="235"/>
      <c r="U119" s="235"/>
      <c r="V119" s="235"/>
      <c r="W119" s="238"/>
      <c r="X119" s="236"/>
      <c r="Y119" s="237"/>
      <c r="Z119" s="235"/>
      <c r="AA119" s="235"/>
      <c r="AB119" s="214">
        <v>23.2</v>
      </c>
      <c r="AC119" s="56">
        <f t="shared" si="132"/>
        <v>23.2</v>
      </c>
      <c r="AD119" s="59">
        <f t="shared" si="155"/>
        <v>0.941653982749873</v>
      </c>
      <c r="AE119" s="55" t="str">
        <f t="shared" si="156"/>
        <v>Nivel del indicador que satisface y supera las expectativas</v>
      </c>
      <c r="AF119" s="235"/>
      <c r="AG119" s="235"/>
      <c r="AH119" s="235"/>
      <c r="AI119" s="238">
        <f t="shared" si="73"/>
        <v>23.2</v>
      </c>
      <c r="AJ119" s="236">
        <f t="shared" si="135"/>
        <v>0.70624048706240483</v>
      </c>
      <c r="AK119" s="237" t="str">
        <f t="shared" si="136"/>
        <v>Nivel Aceptable del Indicador</v>
      </c>
      <c r="AP119" s="240">
        <f t="shared" si="137"/>
        <v>32.85</v>
      </c>
      <c r="AQ119" s="240">
        <f t="shared" si="138"/>
        <v>8.2125000000000004</v>
      </c>
      <c r="AR119" s="240"/>
      <c r="AS119" s="241"/>
      <c r="AT119" s="241"/>
      <c r="AU119" s="240">
        <f t="shared" si="142"/>
        <v>16.425000000000001</v>
      </c>
      <c r="AV119" s="242"/>
      <c r="AW119" s="241"/>
      <c r="AX119" s="241"/>
      <c r="AY119" s="240">
        <f t="shared" si="146"/>
        <v>24.637500000000003</v>
      </c>
      <c r="AZ119" s="242"/>
      <c r="BA119" s="241"/>
      <c r="BB119" s="241"/>
      <c r="BC119" s="240">
        <f t="shared" si="150"/>
        <v>32.85</v>
      </c>
      <c r="BD119" s="242"/>
      <c r="BE119" s="241"/>
      <c r="BF119" s="241"/>
    </row>
    <row r="120" spans="1:58" ht="30" x14ac:dyDescent="0.25">
      <c r="A120" s="57" t="s">
        <v>483</v>
      </c>
      <c r="B120" s="95" t="s">
        <v>484</v>
      </c>
      <c r="C120" s="96" t="s">
        <v>485</v>
      </c>
      <c r="D120" s="96"/>
      <c r="E120" s="96">
        <v>0</v>
      </c>
      <c r="F120" s="206">
        <v>0.25</v>
      </c>
      <c r="G120" s="206">
        <f t="shared" si="68"/>
        <v>0</v>
      </c>
      <c r="H120" s="206">
        <v>2</v>
      </c>
      <c r="I120" s="206">
        <f t="shared" si="69"/>
        <v>0</v>
      </c>
      <c r="J120" s="206">
        <v>0.75</v>
      </c>
      <c r="K120" s="206">
        <f t="shared" si="70"/>
        <v>0</v>
      </c>
      <c r="L120" s="206">
        <v>1</v>
      </c>
      <c r="M120" s="206">
        <f t="shared" si="71"/>
        <v>0</v>
      </c>
      <c r="N120" s="131"/>
      <c r="O120" s="131"/>
      <c r="P120" s="131"/>
      <c r="Q120" s="57">
        <f t="shared" si="157"/>
        <v>0</v>
      </c>
      <c r="R120" s="59" t="str">
        <f t="shared" si="74"/>
        <v/>
      </c>
      <c r="S120" s="55" t="str">
        <f t="shared" ref="S120" si="161">IF(AND(E120&gt;0,Q120=0),"¡¡Ojo No se Ejecutaron Actividades!!",IF(R120="","",IF(R120&lt;8.99%,"Se ha avanzado muy poco o nada en este indicador",IF(R120&lt;=19.99%,"Nivel Aceptable del Indicador",IF(R120&lt;=24.99%,"Nivel del indicador que cumple las expectativas","Nivel del indicador que satisface y supera las expectativas")))))</f>
        <v/>
      </c>
      <c r="T120" s="163">
        <v>0</v>
      </c>
      <c r="U120" s="163">
        <v>0</v>
      </c>
      <c r="V120" s="163">
        <v>0</v>
      </c>
      <c r="W120" s="56">
        <f t="shared" si="72"/>
        <v>0</v>
      </c>
      <c r="X120" s="59" t="str">
        <f t="shared" si="99"/>
        <v/>
      </c>
      <c r="Y120" s="55" t="str">
        <f t="shared" ref="Y120" si="162">IF(AND(E120&gt;0,W120=0),"¡¡Ojo No se Ejecutaron Actividades!!",IF(X120="","",IF(X120&lt;15.99%,"Se ha avanzado muy poco o nada en este indicador",IF(X120&lt;=36.99%,"Nivel Aceptable del Indicador",IF(X120&lt;=49.99%,"Nivel del indicador que cumple las expectativas","Nivel del indicador que satisface y supera las expectativas")))))</f>
        <v/>
      </c>
      <c r="Z120" s="57"/>
      <c r="AA120" s="57"/>
      <c r="AB120" s="235">
        <v>0</v>
      </c>
      <c r="AC120" s="56">
        <f t="shared" si="132"/>
        <v>0</v>
      </c>
      <c r="AD120" s="59" t="str">
        <f t="shared" si="155"/>
        <v/>
      </c>
      <c r="AE120" s="55" t="str">
        <f t="shared" si="156"/>
        <v/>
      </c>
      <c r="AF120" s="57"/>
      <c r="AG120" s="57"/>
      <c r="AH120" s="57"/>
      <c r="AI120" s="56">
        <f t="shared" si="73"/>
        <v>0</v>
      </c>
      <c r="AJ120" s="236" t="str">
        <f t="shared" ref="AJ120" si="163">IFERROR((IF(AI120&gt;0,AI120/E120,"")),0)</f>
        <v/>
      </c>
      <c r="AK120" s="237" t="str">
        <f t="shared" ref="AK120" si="164">IF(AND(E120&gt;0,AI120=0),"¡¡Ojo No se Ejecutaron Actividades!!",IF(AJ120="","",IF(AJ120&lt;33.99%,"Se ha avanzado muy poco o nada en este indicador",IF(AJ120&lt;=75.99%,"Nivel Aceptable del Indicador",IF(AJ120&lt;=98.99%,"Nivel del indicador que cumple las expectativas","Nivel del indicador que satisface y supera las expectativas")))))</f>
        <v/>
      </c>
      <c r="AP120" s="52">
        <f t="shared" si="137"/>
        <v>0</v>
      </c>
      <c r="AQ120" s="52">
        <f t="shared" si="138"/>
        <v>0</v>
      </c>
      <c r="AR120" s="52">
        <f t="shared" si="139"/>
        <v>0</v>
      </c>
      <c r="AS120" s="79">
        <f t="shared" si="140"/>
        <v>0</v>
      </c>
      <c r="AT120" s="79">
        <f t="shared" si="141"/>
        <v>0</v>
      </c>
      <c r="AU120" s="52">
        <f t="shared" si="142"/>
        <v>0</v>
      </c>
      <c r="AV120" s="77">
        <f t="shared" si="143"/>
        <v>0</v>
      </c>
      <c r="AW120" s="79">
        <f t="shared" si="144"/>
        <v>0</v>
      </c>
      <c r="AX120" s="79">
        <f t="shared" si="145"/>
        <v>0</v>
      </c>
      <c r="AY120" s="52">
        <f t="shared" si="146"/>
        <v>0</v>
      </c>
      <c r="AZ120" s="77">
        <f t="shared" si="147"/>
        <v>0</v>
      </c>
      <c r="BA120" s="79">
        <f t="shared" si="148"/>
        <v>0</v>
      </c>
      <c r="BB120" s="79">
        <f t="shared" si="149"/>
        <v>0</v>
      </c>
      <c r="BC120" s="52">
        <f t="shared" si="150"/>
        <v>0</v>
      </c>
      <c r="BD120" s="77">
        <f t="shared" si="151"/>
        <v>0</v>
      </c>
      <c r="BE120" s="79">
        <f t="shared" si="152"/>
        <v>0</v>
      </c>
      <c r="BF120" s="79">
        <f t="shared" si="153"/>
        <v>0</v>
      </c>
    </row>
    <row r="121" spans="1:58" ht="30" x14ac:dyDescent="0.25">
      <c r="A121" s="57" t="s">
        <v>486</v>
      </c>
      <c r="B121" s="57" t="s">
        <v>487</v>
      </c>
      <c r="C121" s="58" t="s">
        <v>488</v>
      </c>
      <c r="D121" s="58" t="s">
        <v>549</v>
      </c>
      <c r="E121" s="58">
        <v>221</v>
      </c>
      <c r="F121" s="206">
        <v>0.25</v>
      </c>
      <c r="G121" s="206">
        <f t="shared" si="68"/>
        <v>55.25</v>
      </c>
      <c r="H121" s="206">
        <v>2</v>
      </c>
      <c r="I121" s="206">
        <v>122</v>
      </c>
      <c r="J121" s="206">
        <v>0.75</v>
      </c>
      <c r="K121" s="206">
        <v>177.1</v>
      </c>
      <c r="L121" s="206">
        <v>1</v>
      </c>
      <c r="M121" s="164">
        <f t="shared" si="71"/>
        <v>221</v>
      </c>
      <c r="N121" s="131">
        <v>42</v>
      </c>
      <c r="O121" s="131">
        <v>0</v>
      </c>
      <c r="P121" s="131">
        <v>0</v>
      </c>
      <c r="Q121" s="57">
        <f t="shared" si="157"/>
        <v>42</v>
      </c>
      <c r="R121" s="59">
        <f t="shared" si="74"/>
        <v>0.76018099547511309</v>
      </c>
      <c r="S121" s="55" t="str">
        <f t="shared" si="62"/>
        <v>Nivel del indicador que satisface y supera las expectativas</v>
      </c>
      <c r="T121" s="163">
        <v>0</v>
      </c>
      <c r="U121" s="163">
        <v>40</v>
      </c>
      <c r="V121" s="163">
        <v>40</v>
      </c>
      <c r="W121" s="56">
        <f t="shared" si="72"/>
        <v>122</v>
      </c>
      <c r="X121" s="59">
        <f t="shared" si="99"/>
        <v>1</v>
      </c>
      <c r="Y121" s="55" t="str">
        <f t="shared" si="131"/>
        <v>Nivel del indicador que satisface y supera las expectativas</v>
      </c>
      <c r="Z121" s="57"/>
      <c r="AA121" s="57"/>
      <c r="AB121" s="214">
        <v>177.1</v>
      </c>
      <c r="AC121" s="56">
        <f>+AB121</f>
        <v>177.1</v>
      </c>
      <c r="AD121" s="59">
        <f t="shared" si="155"/>
        <v>1</v>
      </c>
      <c r="AE121" s="55" t="str">
        <f t="shared" si="156"/>
        <v>Nivel del indicador que satisface y supera las expectativas</v>
      </c>
      <c r="AF121" s="57"/>
      <c r="AG121" s="57"/>
      <c r="AH121" s="57"/>
      <c r="AI121" s="56">
        <f t="shared" si="73"/>
        <v>177.1</v>
      </c>
      <c r="AJ121" s="59">
        <f t="shared" si="135"/>
        <v>0.80135746606334834</v>
      </c>
      <c r="AK121" s="55" t="str">
        <f t="shared" si="136"/>
        <v>Nivel del indicador que cumple las expectativas</v>
      </c>
      <c r="AP121" s="52">
        <f t="shared" si="137"/>
        <v>221</v>
      </c>
      <c r="AQ121" s="52">
        <f t="shared" si="138"/>
        <v>55.25</v>
      </c>
      <c r="AR121" s="52">
        <f t="shared" si="139"/>
        <v>42</v>
      </c>
      <c r="AS121" s="79">
        <f t="shared" si="140"/>
        <v>0.76018099547511309</v>
      </c>
      <c r="AT121" s="79">
        <f t="shared" si="141"/>
        <v>0.19004524886877827</v>
      </c>
      <c r="AU121" s="52">
        <f t="shared" si="142"/>
        <v>110.5</v>
      </c>
      <c r="AV121" s="77">
        <f t="shared" si="143"/>
        <v>122.19004524886878</v>
      </c>
      <c r="AW121" s="79">
        <f t="shared" si="144"/>
        <v>1.1057922646956451</v>
      </c>
      <c r="AX121" s="79">
        <f t="shared" si="145"/>
        <v>0.55289613234782253</v>
      </c>
      <c r="AY121" s="52">
        <f t="shared" si="146"/>
        <v>165.75</v>
      </c>
      <c r="AZ121" s="77">
        <f t="shared" si="147"/>
        <v>299.29004524886875</v>
      </c>
      <c r="BA121" s="79">
        <f t="shared" si="148"/>
        <v>1.8056714645482277</v>
      </c>
      <c r="BB121" s="79">
        <f t="shared" si="149"/>
        <v>1.3542535984111708</v>
      </c>
      <c r="BC121" s="52">
        <f t="shared" si="150"/>
        <v>221</v>
      </c>
      <c r="BD121" s="77">
        <f t="shared" si="151"/>
        <v>476.39004524886877</v>
      </c>
      <c r="BE121" s="79">
        <f t="shared" si="152"/>
        <v>2.1556110644745194</v>
      </c>
      <c r="BF121" s="79">
        <f t="shared" si="153"/>
        <v>2.155611064474519</v>
      </c>
    </row>
    <row r="123" spans="1:58" x14ac:dyDescent="0.25">
      <c r="U123" s="210"/>
      <c r="V123" s="210"/>
    </row>
    <row r="124" spans="1:58" x14ac:dyDescent="0.25">
      <c r="A124" s="75" t="s">
        <v>183</v>
      </c>
      <c r="B124" s="75" t="s">
        <v>295</v>
      </c>
      <c r="C124" s="75" t="s">
        <v>374</v>
      </c>
      <c r="D124" s="75"/>
      <c r="E124" s="75" t="s">
        <v>414</v>
      </c>
      <c r="F124" s="75"/>
      <c r="G124" s="75"/>
      <c r="H124" s="75"/>
      <c r="I124" s="75"/>
      <c r="J124" s="75"/>
      <c r="K124" s="75"/>
      <c r="L124" s="75"/>
      <c r="M124" s="75"/>
      <c r="N124" s="75" t="s">
        <v>450</v>
      </c>
      <c r="R124" s="200"/>
      <c r="U124" s="210"/>
      <c r="V124" s="210"/>
    </row>
    <row r="125" spans="1:58" x14ac:dyDescent="0.25">
      <c r="A125" s="75" t="s">
        <v>184</v>
      </c>
      <c r="B125" s="75" t="s">
        <v>309</v>
      </c>
      <c r="C125" s="75" t="s">
        <v>381</v>
      </c>
      <c r="D125" s="75"/>
      <c r="E125" s="75" t="s">
        <v>421</v>
      </c>
      <c r="F125" s="75"/>
      <c r="G125" s="75"/>
      <c r="H125" s="75"/>
      <c r="I125" s="75"/>
      <c r="J125" s="75"/>
      <c r="K125" s="75"/>
      <c r="L125" s="75"/>
      <c r="M125" s="75"/>
      <c r="N125" s="75" t="s">
        <v>453</v>
      </c>
      <c r="R125" s="85"/>
      <c r="U125" s="210"/>
      <c r="V125" s="210"/>
    </row>
    <row r="126" spans="1:58" x14ac:dyDescent="0.25">
      <c r="A126" s="75" t="s">
        <v>214</v>
      </c>
      <c r="B126" s="75" t="s">
        <v>324</v>
      </c>
      <c r="C126" s="75" t="s">
        <v>384</v>
      </c>
      <c r="D126" s="75"/>
      <c r="E126" s="75" t="s">
        <v>424</v>
      </c>
      <c r="F126" s="75"/>
      <c r="G126" s="75"/>
      <c r="H126" s="75"/>
      <c r="I126" s="75"/>
      <c r="J126" s="75"/>
      <c r="K126" s="75"/>
      <c r="L126" s="75"/>
      <c r="M126" s="75"/>
      <c r="N126" s="75" t="s">
        <v>472</v>
      </c>
      <c r="U126" s="210"/>
      <c r="V126" s="210"/>
    </row>
    <row r="127" spans="1:58" x14ac:dyDescent="0.25">
      <c r="A127" s="75" t="s">
        <v>225</v>
      </c>
      <c r="B127" s="75" t="s">
        <v>333</v>
      </c>
      <c r="C127" s="75" t="s">
        <v>395</v>
      </c>
      <c r="D127" s="75"/>
      <c r="E127" s="75" t="s">
        <v>427</v>
      </c>
      <c r="F127" s="75"/>
      <c r="G127" s="75"/>
      <c r="H127" s="75"/>
      <c r="I127" s="75"/>
      <c r="J127" s="75"/>
      <c r="K127" s="75"/>
      <c r="L127" s="75"/>
      <c r="M127" s="75"/>
      <c r="N127" s="75" t="s">
        <v>500</v>
      </c>
      <c r="U127" s="210"/>
      <c r="V127" s="210"/>
    </row>
    <row r="128" spans="1:58" x14ac:dyDescent="0.25">
      <c r="A128" s="75" t="s">
        <v>235</v>
      </c>
      <c r="B128" s="75" t="s">
        <v>336</v>
      </c>
      <c r="C128" s="75" t="s">
        <v>399</v>
      </c>
      <c r="D128" s="75"/>
      <c r="E128" s="75" t="s">
        <v>432</v>
      </c>
      <c r="F128" s="75"/>
      <c r="G128" s="75"/>
      <c r="H128" s="75"/>
      <c r="I128" s="75"/>
      <c r="J128" s="75"/>
      <c r="K128" s="75"/>
      <c r="L128" s="75"/>
      <c r="M128" s="75"/>
      <c r="N128" s="75" t="s">
        <v>483</v>
      </c>
      <c r="U128" s="210"/>
      <c r="V128" s="210"/>
    </row>
    <row r="129" spans="1:22" x14ac:dyDescent="0.25">
      <c r="A129" s="75" t="s">
        <v>237</v>
      </c>
      <c r="B129" s="75" t="s">
        <v>341</v>
      </c>
      <c r="C129" s="75" t="s">
        <v>401</v>
      </c>
      <c r="D129" s="75"/>
      <c r="E129" s="75" t="s">
        <v>437</v>
      </c>
      <c r="F129" s="75"/>
      <c r="G129" s="75"/>
      <c r="H129" s="75"/>
      <c r="I129" s="75"/>
      <c r="J129" s="75"/>
      <c r="K129" s="75"/>
      <c r="L129" s="75"/>
      <c r="M129" s="75"/>
      <c r="N129" s="75" t="s">
        <v>501</v>
      </c>
      <c r="U129" s="210"/>
      <c r="V129" s="210"/>
    </row>
    <row r="130" spans="1:22" x14ac:dyDescent="0.25">
      <c r="A130" s="75" t="s">
        <v>241</v>
      </c>
      <c r="B130" s="75" t="s">
        <v>346</v>
      </c>
      <c r="C130" s="75" t="s">
        <v>403</v>
      </c>
      <c r="D130" s="75"/>
      <c r="E130" s="75" t="s">
        <v>440</v>
      </c>
      <c r="F130" s="75"/>
      <c r="G130" s="75"/>
      <c r="H130" s="75"/>
      <c r="I130" s="75"/>
      <c r="J130" s="75"/>
      <c r="K130" s="75"/>
      <c r="L130" s="75"/>
      <c r="M130" s="75"/>
      <c r="N130" s="75" t="s">
        <v>486</v>
      </c>
      <c r="U130" s="210"/>
      <c r="V130" s="210"/>
    </row>
    <row r="131" spans="1:22" x14ac:dyDescent="0.25">
      <c r="B131" s="75" t="s">
        <v>349</v>
      </c>
      <c r="C131" s="75" t="s">
        <v>405</v>
      </c>
      <c r="D131" s="75"/>
      <c r="U131" s="210"/>
      <c r="V131" s="210"/>
    </row>
    <row r="132" spans="1:22" x14ac:dyDescent="0.25">
      <c r="B132" s="75" t="s">
        <v>356</v>
      </c>
      <c r="U132" s="210"/>
      <c r="V132" s="210"/>
    </row>
    <row r="133" spans="1:22" x14ac:dyDescent="0.25">
      <c r="U133" s="210"/>
      <c r="V133" s="210"/>
    </row>
    <row r="134" spans="1:22" x14ac:dyDescent="0.25">
      <c r="U134" s="210"/>
      <c r="V134" s="210"/>
    </row>
    <row r="135" spans="1:22" x14ac:dyDescent="0.25">
      <c r="U135" s="210"/>
      <c r="V135" s="210"/>
    </row>
    <row r="136" spans="1:22" x14ac:dyDescent="0.25">
      <c r="U136" s="210"/>
      <c r="V136" s="210"/>
    </row>
    <row r="137" spans="1:22" x14ac:dyDescent="0.25">
      <c r="U137" s="210"/>
      <c r="V137" s="210"/>
    </row>
    <row r="138" spans="1:22" x14ac:dyDescent="0.25">
      <c r="U138" s="210"/>
      <c r="V138" s="210"/>
    </row>
    <row r="139" spans="1:22" x14ac:dyDescent="0.25">
      <c r="U139" s="210"/>
      <c r="V139" s="210"/>
    </row>
    <row r="140" spans="1:22" x14ac:dyDescent="0.25">
      <c r="U140" s="210"/>
      <c r="V140" s="210"/>
    </row>
    <row r="141" spans="1:22" x14ac:dyDescent="0.25">
      <c r="U141" s="210"/>
      <c r="V141" s="210"/>
    </row>
  </sheetData>
  <customSheetViews>
    <customSheetView guid="{FC774746-3857-4381-B35D-AC071296263D}" scale="70" hiddenRows="1" hiddenColumns="1">
      <pane xSplit="5" ySplit="2" topLeftCell="H101" activePane="bottomRight" state="frozen"/>
      <selection pane="bottomRight" activeCell="P117" sqref="P117"/>
      <pageMargins left="0.7" right="0.7" top="0.75" bottom="0.75" header="0.3" footer="0.3"/>
      <pageSetup paperSize="9" orientation="portrait" r:id="rId1"/>
    </customSheetView>
  </customSheetViews>
  <mergeCells count="60">
    <mergeCell ref="D3:D5"/>
    <mergeCell ref="D31:D33"/>
    <mergeCell ref="A114:A119"/>
    <mergeCell ref="B89:B90"/>
    <mergeCell ref="C89:C90"/>
    <mergeCell ref="B93:B95"/>
    <mergeCell ref="C93:C95"/>
    <mergeCell ref="A101:A103"/>
    <mergeCell ref="A105:A113"/>
    <mergeCell ref="A80:A81"/>
    <mergeCell ref="A85:A87"/>
    <mergeCell ref="A96:A97"/>
    <mergeCell ref="A98:A99"/>
    <mergeCell ref="A88:A91"/>
    <mergeCell ref="A93:A95"/>
    <mergeCell ref="A57:A58"/>
    <mergeCell ref="A60:A62"/>
    <mergeCell ref="A69:A71"/>
    <mergeCell ref="A73:A79"/>
    <mergeCell ref="A63:A68"/>
    <mergeCell ref="A31:A33"/>
    <mergeCell ref="A34:A41"/>
    <mergeCell ref="A42:A48"/>
    <mergeCell ref="A49:A53"/>
    <mergeCell ref="A55:A56"/>
    <mergeCell ref="A3:A7"/>
    <mergeCell ref="A8:A12"/>
    <mergeCell ref="A13:A17"/>
    <mergeCell ref="A18:A26"/>
    <mergeCell ref="A28:A30"/>
    <mergeCell ref="BC1:BD1"/>
    <mergeCell ref="BE1:BF2"/>
    <mergeCell ref="AU1:AV1"/>
    <mergeCell ref="AY1:AZ1"/>
    <mergeCell ref="BA1:BB2"/>
    <mergeCell ref="AW1:AX2"/>
    <mergeCell ref="AS1:AT2"/>
    <mergeCell ref="E1:E2"/>
    <mergeCell ref="C1:C2"/>
    <mergeCell ref="AF1:AK1"/>
    <mergeCell ref="AJ2:AK2"/>
    <mergeCell ref="R2:S2"/>
    <mergeCell ref="N1:S1"/>
    <mergeCell ref="Z1:AE1"/>
    <mergeCell ref="AD2:AE2"/>
    <mergeCell ref="T1:Y1"/>
    <mergeCell ref="X2:Y2"/>
    <mergeCell ref="D1:D2"/>
    <mergeCell ref="F1:F2"/>
    <mergeCell ref="G1:G2"/>
    <mergeCell ref="A1:A2"/>
    <mergeCell ref="K1:K2"/>
    <mergeCell ref="L1:L2"/>
    <mergeCell ref="AP1:AP2"/>
    <mergeCell ref="AQ1:AR1"/>
    <mergeCell ref="M1:M2"/>
    <mergeCell ref="I1:I2"/>
    <mergeCell ref="H1:H2"/>
    <mergeCell ref="J1:J2"/>
    <mergeCell ref="B1:B2"/>
  </mergeCells>
  <conditionalFormatting sqref="R3">
    <cfRule type="cellIs" dxfId="654" priority="251" operator="equal">
      <formula>""</formula>
    </cfRule>
    <cfRule type="cellIs" dxfId="653" priority="252" operator="greaterThanOrEqual">
      <formula>25%</formula>
    </cfRule>
    <cfRule type="cellIs" dxfId="652" priority="253" operator="between">
      <formula>20%</formula>
      <formula>24.99%</formula>
    </cfRule>
    <cfRule type="cellIs" dxfId="651" priority="254" operator="between">
      <formula>9%</formula>
      <formula>19.99%</formula>
    </cfRule>
    <cfRule type="cellIs" dxfId="650" priority="255" operator="lessThanOrEqual">
      <formula>8.99%</formula>
    </cfRule>
  </conditionalFormatting>
  <conditionalFormatting sqref="S3:S33">
    <cfRule type="cellIs" dxfId="649" priority="247" operator="equal">
      <formula>"Nivel del indicador que satisface y supera las expectativas"</formula>
    </cfRule>
    <cfRule type="cellIs" dxfId="648" priority="248" operator="equal">
      <formula>"Nivel del indicador que cumple las expectativas"</formula>
    </cfRule>
    <cfRule type="cellIs" dxfId="647" priority="249" operator="equal">
      <formula>"Nivel aceptable del indicador"</formula>
    </cfRule>
    <cfRule type="cellIs" dxfId="646" priority="250" operator="equal">
      <formula>"Se ha avanzado muy poco o nada en este indicador"</formula>
    </cfRule>
  </conditionalFormatting>
  <conditionalFormatting sqref="X3">
    <cfRule type="cellIs" dxfId="645" priority="242" operator="equal">
      <formula>""</formula>
    </cfRule>
    <cfRule type="cellIs" dxfId="644" priority="243" operator="greaterThanOrEqual">
      <formula>50%</formula>
    </cfRule>
    <cfRule type="cellIs" dxfId="643" priority="244" operator="between">
      <formula>37%</formula>
      <formula>49.99%</formula>
    </cfRule>
    <cfRule type="cellIs" dxfId="642" priority="245" operator="between">
      <formula>16%</formula>
      <formula>36.99%</formula>
    </cfRule>
    <cfRule type="cellIs" dxfId="641" priority="246" operator="lessThanOrEqual">
      <formula>15.99%</formula>
    </cfRule>
  </conditionalFormatting>
  <conditionalFormatting sqref="Y3:Y33">
    <cfRule type="cellIs" dxfId="640" priority="238" operator="equal">
      <formula>"Nivel del indicador que satisface y supera las expectativas"</formula>
    </cfRule>
    <cfRule type="cellIs" dxfId="639" priority="239" operator="equal">
      <formula>"Nivel del indicador que cumple las expectativas"</formula>
    </cfRule>
    <cfRule type="cellIs" dxfId="638" priority="240" operator="equal">
      <formula>"Nivel aceptable del indicador"</formula>
    </cfRule>
    <cfRule type="cellIs" dxfId="637" priority="241" operator="equal">
      <formula>"Se ha avanzado muy poco o nada en este indicador"</formula>
    </cfRule>
  </conditionalFormatting>
  <conditionalFormatting sqref="AE3:AE33">
    <cfRule type="cellIs" dxfId="636" priority="229" operator="equal">
      <formula>"Nivel del indicador que satisface y supera las expectativas"</formula>
    </cfRule>
    <cfRule type="cellIs" dxfId="635" priority="230" operator="equal">
      <formula>"Nivel del indicador que cumple las expectativas"</formula>
    </cfRule>
    <cfRule type="cellIs" dxfId="634" priority="231" operator="equal">
      <formula>"Nivel aceptable del indicador"</formula>
    </cfRule>
    <cfRule type="cellIs" dxfId="633" priority="232" operator="equal">
      <formula>"Se ha avanzado muy poco o nada en este indicador"</formula>
    </cfRule>
  </conditionalFormatting>
  <conditionalFormatting sqref="AJ3:AJ33">
    <cfRule type="cellIs" dxfId="632" priority="224" operator="equal">
      <formula>""</formula>
    </cfRule>
    <cfRule type="cellIs" dxfId="631" priority="225" operator="greaterThanOrEqual">
      <formula>99%</formula>
    </cfRule>
    <cfRule type="cellIs" dxfId="630" priority="226" operator="between">
      <formula>76%</formula>
      <formula>98.99%</formula>
    </cfRule>
    <cfRule type="cellIs" dxfId="629" priority="227" operator="between">
      <formula>34%</formula>
      <formula>75.99%</formula>
    </cfRule>
    <cfRule type="cellIs" dxfId="628" priority="228" operator="lessThanOrEqual">
      <formula>33.99%</formula>
    </cfRule>
  </conditionalFormatting>
  <conditionalFormatting sqref="AK3:AK33">
    <cfRule type="cellIs" dxfId="627" priority="220" operator="equal">
      <formula>"Nivel del indicador que satisface y supera las expectativas"</formula>
    </cfRule>
    <cfRule type="cellIs" dxfId="626" priority="221" operator="equal">
      <formula>"Nivel del indicador que cumple las expectativas"</formula>
    </cfRule>
    <cfRule type="cellIs" dxfId="625" priority="222" operator="equal">
      <formula>"Nivel aceptable del indicador"</formula>
    </cfRule>
    <cfRule type="cellIs" dxfId="624" priority="223" operator="equal">
      <formula>"Se ha avanzado muy poco o nada en este indicador"</formula>
    </cfRule>
  </conditionalFormatting>
  <conditionalFormatting sqref="S3:S33">
    <cfRule type="cellIs" dxfId="623" priority="219" operator="equal">
      <formula>"¡¡Ojo No Se Ejecutaron Actividades!!"</formula>
    </cfRule>
  </conditionalFormatting>
  <conditionalFormatting sqref="Y3:Y33">
    <cfRule type="cellIs" dxfId="622" priority="218" operator="equal">
      <formula>"¡¡Ojo No se Ejecutaron Actividades!!"</formula>
    </cfRule>
  </conditionalFormatting>
  <conditionalFormatting sqref="AE3:AE33">
    <cfRule type="cellIs" dxfId="621" priority="217" operator="equal">
      <formula>"¡¡Ojo No se Ejecutaron Actividades!!"</formula>
    </cfRule>
  </conditionalFormatting>
  <conditionalFormatting sqref="AK3:AK33">
    <cfRule type="cellIs" dxfId="620" priority="216" operator="equal">
      <formula>"¡¡Ojo No se Ejecutaron Actividades!!"</formula>
    </cfRule>
  </conditionalFormatting>
  <conditionalFormatting sqref="S34:S68">
    <cfRule type="cellIs" dxfId="619" priority="207" operator="equal">
      <formula>"Nivel del indicador que satisface y supera las expectativas"</formula>
    </cfRule>
    <cfRule type="cellIs" dxfId="618" priority="208" operator="equal">
      <formula>"Nivel del indicador que cumple las expectativas"</formula>
    </cfRule>
    <cfRule type="cellIs" dxfId="617" priority="209" operator="equal">
      <formula>"Nivel aceptable del indicador"</formula>
    </cfRule>
    <cfRule type="cellIs" dxfId="616" priority="210" operator="equal">
      <formula>"Se ha avanzado muy poco o nada en este indicador"</formula>
    </cfRule>
  </conditionalFormatting>
  <conditionalFormatting sqref="Y34:Y68">
    <cfRule type="cellIs" dxfId="615" priority="198" operator="equal">
      <formula>"Nivel del indicador que satisface y supera las expectativas"</formula>
    </cfRule>
    <cfRule type="cellIs" dxfId="614" priority="199" operator="equal">
      <formula>"Nivel del indicador que cumple las expectativas"</formula>
    </cfRule>
    <cfRule type="cellIs" dxfId="613" priority="200" operator="equal">
      <formula>"Nivel aceptable del indicador"</formula>
    </cfRule>
    <cfRule type="cellIs" dxfId="612" priority="201" operator="equal">
      <formula>"Se ha avanzado muy poco o nada en este indicador"</formula>
    </cfRule>
  </conditionalFormatting>
  <conditionalFormatting sqref="AE34:AE68">
    <cfRule type="cellIs" dxfId="611" priority="189" operator="equal">
      <formula>"Nivel del indicador que satisface y supera las expectativas"</formula>
    </cfRule>
    <cfRule type="cellIs" dxfId="610" priority="190" operator="equal">
      <formula>"Nivel del indicador que cumple las expectativas"</formula>
    </cfRule>
    <cfRule type="cellIs" dxfId="609" priority="191" operator="equal">
      <formula>"Nivel aceptable del indicador"</formula>
    </cfRule>
    <cfRule type="cellIs" dxfId="608" priority="192" operator="equal">
      <formula>"Se ha avanzado muy poco o nada en este indicador"</formula>
    </cfRule>
  </conditionalFormatting>
  <conditionalFormatting sqref="AJ34:AJ68">
    <cfRule type="cellIs" dxfId="607" priority="184" operator="equal">
      <formula>""</formula>
    </cfRule>
    <cfRule type="cellIs" dxfId="606" priority="185" operator="greaterThanOrEqual">
      <formula>99%</formula>
    </cfRule>
    <cfRule type="cellIs" dxfId="605" priority="186" operator="between">
      <formula>76%</formula>
      <formula>98.99%</formula>
    </cfRule>
    <cfRule type="cellIs" dxfId="604" priority="187" operator="between">
      <formula>34%</formula>
      <formula>75.99%</formula>
    </cfRule>
    <cfRule type="cellIs" dxfId="603" priority="188" operator="lessThanOrEqual">
      <formula>33.99%</formula>
    </cfRule>
  </conditionalFormatting>
  <conditionalFormatting sqref="AK34:AK68">
    <cfRule type="cellIs" dxfId="602" priority="180" operator="equal">
      <formula>"Nivel del indicador que satisface y supera las expectativas"</formula>
    </cfRule>
    <cfRule type="cellIs" dxfId="601" priority="181" operator="equal">
      <formula>"Nivel del indicador que cumple las expectativas"</formula>
    </cfRule>
    <cfRule type="cellIs" dxfId="600" priority="182" operator="equal">
      <formula>"Nivel aceptable del indicador"</formula>
    </cfRule>
    <cfRule type="cellIs" dxfId="599" priority="183" operator="equal">
      <formula>"Se ha avanzado muy poco o nada en este indicador"</formula>
    </cfRule>
  </conditionalFormatting>
  <conditionalFormatting sqref="S34:S68">
    <cfRule type="cellIs" dxfId="598" priority="179" operator="equal">
      <formula>"¡¡Ojo No Se Ejecutaron Actividades!!"</formula>
    </cfRule>
  </conditionalFormatting>
  <conditionalFormatting sqref="Y34:Y68">
    <cfRule type="cellIs" dxfId="597" priority="178" operator="equal">
      <formula>"¡¡Ojo No se Ejecutaron Actividades!!"</formula>
    </cfRule>
  </conditionalFormatting>
  <conditionalFormatting sqref="AE34:AE68">
    <cfRule type="cellIs" dxfId="596" priority="177" operator="equal">
      <formula>"¡¡Ojo No se Ejecutaron Actividades!!"</formula>
    </cfRule>
  </conditionalFormatting>
  <conditionalFormatting sqref="AK34:AK68">
    <cfRule type="cellIs" dxfId="595" priority="176" operator="equal">
      <formula>"¡¡Ojo No se Ejecutaron Actividades!!"</formula>
    </cfRule>
  </conditionalFormatting>
  <conditionalFormatting sqref="S69:S87">
    <cfRule type="cellIs" dxfId="594" priority="167" operator="equal">
      <formula>"Nivel del indicador que satisface y supera las expectativas"</formula>
    </cfRule>
    <cfRule type="cellIs" dxfId="593" priority="168" operator="equal">
      <formula>"Nivel del indicador que cumple las expectativas"</formula>
    </cfRule>
    <cfRule type="cellIs" dxfId="592" priority="169" operator="equal">
      <formula>"Nivel aceptable del indicador"</formula>
    </cfRule>
    <cfRule type="cellIs" dxfId="591" priority="170" operator="equal">
      <formula>"Se ha avanzado muy poco o nada en este indicador"</formula>
    </cfRule>
  </conditionalFormatting>
  <conditionalFormatting sqref="Y69:Y87">
    <cfRule type="cellIs" dxfId="590" priority="158" operator="equal">
      <formula>"Nivel del indicador que satisface y supera las expectativas"</formula>
    </cfRule>
    <cfRule type="cellIs" dxfId="589" priority="159" operator="equal">
      <formula>"Nivel del indicador que cumple las expectativas"</formula>
    </cfRule>
    <cfRule type="cellIs" dxfId="588" priority="160" operator="equal">
      <formula>"Nivel aceptable del indicador"</formula>
    </cfRule>
    <cfRule type="cellIs" dxfId="587" priority="161" operator="equal">
      <formula>"Se ha avanzado muy poco o nada en este indicador"</formula>
    </cfRule>
  </conditionalFormatting>
  <conditionalFormatting sqref="AE69:AE87">
    <cfRule type="cellIs" dxfId="586" priority="149" operator="equal">
      <formula>"Nivel del indicador que satisface y supera las expectativas"</formula>
    </cfRule>
    <cfRule type="cellIs" dxfId="585" priority="150" operator="equal">
      <formula>"Nivel del indicador que cumple las expectativas"</formula>
    </cfRule>
    <cfRule type="cellIs" dxfId="584" priority="151" operator="equal">
      <formula>"Nivel aceptable del indicador"</formula>
    </cfRule>
    <cfRule type="cellIs" dxfId="583" priority="152" operator="equal">
      <formula>"Se ha avanzado muy poco o nada en este indicador"</formula>
    </cfRule>
  </conditionalFormatting>
  <conditionalFormatting sqref="AJ69:AJ87">
    <cfRule type="cellIs" dxfId="582" priority="144" operator="equal">
      <formula>""</formula>
    </cfRule>
    <cfRule type="cellIs" dxfId="581" priority="145" operator="greaterThanOrEqual">
      <formula>99%</formula>
    </cfRule>
    <cfRule type="cellIs" dxfId="580" priority="146" operator="between">
      <formula>76%</formula>
      <formula>98.99%</formula>
    </cfRule>
    <cfRule type="cellIs" dxfId="579" priority="147" operator="between">
      <formula>34%</formula>
      <formula>75.99%</formula>
    </cfRule>
    <cfRule type="cellIs" dxfId="578" priority="148" operator="lessThanOrEqual">
      <formula>33.99%</formula>
    </cfRule>
  </conditionalFormatting>
  <conditionalFormatting sqref="AK69:AK87">
    <cfRule type="cellIs" dxfId="577" priority="140" operator="equal">
      <formula>"Nivel del indicador que satisface y supera las expectativas"</formula>
    </cfRule>
    <cfRule type="cellIs" dxfId="576" priority="141" operator="equal">
      <formula>"Nivel del indicador que cumple las expectativas"</formula>
    </cfRule>
    <cfRule type="cellIs" dxfId="575" priority="142" operator="equal">
      <formula>"Nivel aceptable del indicador"</formula>
    </cfRule>
    <cfRule type="cellIs" dxfId="574" priority="143" operator="equal">
      <formula>"Se ha avanzado muy poco o nada en este indicador"</formula>
    </cfRule>
  </conditionalFormatting>
  <conditionalFormatting sqref="S69:S87">
    <cfRule type="cellIs" dxfId="573" priority="139" operator="equal">
      <formula>"¡¡Ojo No Se Ejecutaron Actividades!!"</formula>
    </cfRule>
  </conditionalFormatting>
  <conditionalFormatting sqref="Y69:Y87">
    <cfRule type="cellIs" dxfId="572" priority="138" operator="equal">
      <formula>"¡¡Ojo No se Ejecutaron Actividades!!"</formula>
    </cfRule>
  </conditionalFormatting>
  <conditionalFormatting sqref="AE69:AE87">
    <cfRule type="cellIs" dxfId="571" priority="137" operator="equal">
      <formula>"¡¡Ojo No se Ejecutaron Actividades!!"</formula>
    </cfRule>
  </conditionalFormatting>
  <conditionalFormatting sqref="AK69:AK87">
    <cfRule type="cellIs" dxfId="570" priority="136" operator="equal">
      <formula>"¡¡Ojo No se Ejecutaron Actividades!!"</formula>
    </cfRule>
  </conditionalFormatting>
  <conditionalFormatting sqref="S88:S103">
    <cfRule type="cellIs" dxfId="569" priority="127" operator="equal">
      <formula>"Nivel del indicador que satisface y supera las expectativas"</formula>
    </cfRule>
    <cfRule type="cellIs" dxfId="568" priority="128" operator="equal">
      <formula>"Nivel del indicador que cumple las expectativas"</formula>
    </cfRule>
    <cfRule type="cellIs" dxfId="567" priority="129" operator="equal">
      <formula>"Nivel aceptable del indicador"</formula>
    </cfRule>
    <cfRule type="cellIs" dxfId="566" priority="130" operator="equal">
      <formula>"Se ha avanzado muy poco o nada en este indicador"</formula>
    </cfRule>
  </conditionalFormatting>
  <conditionalFormatting sqref="Y88:Y103">
    <cfRule type="cellIs" dxfId="565" priority="118" operator="equal">
      <formula>"Nivel del indicador que satisface y supera las expectativas"</formula>
    </cfRule>
    <cfRule type="cellIs" dxfId="564" priority="119" operator="equal">
      <formula>"Nivel del indicador que cumple las expectativas"</formula>
    </cfRule>
    <cfRule type="cellIs" dxfId="563" priority="120" operator="equal">
      <formula>"Nivel aceptable del indicador"</formula>
    </cfRule>
    <cfRule type="cellIs" dxfId="562" priority="121" operator="equal">
      <formula>"Se ha avanzado muy poco o nada en este indicador"</formula>
    </cfRule>
  </conditionalFormatting>
  <conditionalFormatting sqref="AE88:AE103">
    <cfRule type="cellIs" dxfId="561" priority="109" operator="equal">
      <formula>"Nivel del indicador que satisface y supera las expectativas"</formula>
    </cfRule>
    <cfRule type="cellIs" dxfId="560" priority="110" operator="equal">
      <formula>"Nivel del indicador que cumple las expectativas"</formula>
    </cfRule>
    <cfRule type="cellIs" dxfId="559" priority="111" operator="equal">
      <formula>"Nivel aceptable del indicador"</formula>
    </cfRule>
    <cfRule type="cellIs" dxfId="558" priority="112" operator="equal">
      <formula>"Se ha avanzado muy poco o nada en este indicador"</formula>
    </cfRule>
  </conditionalFormatting>
  <conditionalFormatting sqref="AJ88:AJ103">
    <cfRule type="cellIs" dxfId="557" priority="104" operator="equal">
      <formula>""</formula>
    </cfRule>
    <cfRule type="cellIs" dxfId="556" priority="105" operator="greaterThanOrEqual">
      <formula>99%</formula>
    </cfRule>
    <cfRule type="cellIs" dxfId="555" priority="106" operator="between">
      <formula>76%</formula>
      <formula>98.99%</formula>
    </cfRule>
    <cfRule type="cellIs" dxfId="554" priority="107" operator="between">
      <formula>34%</formula>
      <formula>75.99%</formula>
    </cfRule>
    <cfRule type="cellIs" dxfId="553" priority="108" operator="lessThanOrEqual">
      <formula>33.99%</formula>
    </cfRule>
  </conditionalFormatting>
  <conditionalFormatting sqref="AK88:AK103">
    <cfRule type="cellIs" dxfId="552" priority="100" operator="equal">
      <formula>"Nivel del indicador que satisface y supera las expectativas"</formula>
    </cfRule>
    <cfRule type="cellIs" dxfId="551" priority="101" operator="equal">
      <formula>"Nivel del indicador que cumple las expectativas"</formula>
    </cfRule>
    <cfRule type="cellIs" dxfId="550" priority="102" operator="equal">
      <formula>"Nivel aceptable del indicador"</formula>
    </cfRule>
    <cfRule type="cellIs" dxfId="549" priority="103" operator="equal">
      <formula>"Se ha avanzado muy poco o nada en este indicador"</formula>
    </cfRule>
  </conditionalFormatting>
  <conditionalFormatting sqref="S88:S103">
    <cfRule type="cellIs" dxfId="548" priority="99" operator="equal">
      <formula>"¡¡Ojo No Se Ejecutaron Actividades!!"</formula>
    </cfRule>
  </conditionalFormatting>
  <conditionalFormatting sqref="Y88:Y103">
    <cfRule type="cellIs" dxfId="547" priority="98" operator="equal">
      <formula>"¡¡Ojo No se Ejecutaron Actividades!!"</formula>
    </cfRule>
  </conditionalFormatting>
  <conditionalFormatting sqref="AE88:AE103">
    <cfRule type="cellIs" dxfId="546" priority="97" operator="equal">
      <formula>"¡¡Ojo No se Ejecutaron Actividades!!"</formula>
    </cfRule>
  </conditionalFormatting>
  <conditionalFormatting sqref="AK88:AK103">
    <cfRule type="cellIs" dxfId="545" priority="96" operator="equal">
      <formula>"¡¡Ojo No se Ejecutaron Actividades!!"</formula>
    </cfRule>
  </conditionalFormatting>
  <conditionalFormatting sqref="S104:S121">
    <cfRule type="cellIs" dxfId="544" priority="87" operator="equal">
      <formula>"Nivel del indicador que satisface y supera las expectativas"</formula>
    </cfRule>
    <cfRule type="cellIs" dxfId="543" priority="88" operator="equal">
      <formula>"Nivel del indicador que cumple las expectativas"</formula>
    </cfRule>
    <cfRule type="cellIs" dxfId="542" priority="89" operator="equal">
      <formula>"Nivel aceptable del indicador"</formula>
    </cfRule>
    <cfRule type="cellIs" dxfId="541" priority="90" operator="equal">
      <formula>"Se ha avanzado muy poco o nada en este indicador"</formula>
    </cfRule>
  </conditionalFormatting>
  <conditionalFormatting sqref="Y104:Y121">
    <cfRule type="cellIs" dxfId="540" priority="78" operator="equal">
      <formula>"Nivel del indicador que satisface y supera las expectativas"</formula>
    </cfRule>
    <cfRule type="cellIs" dxfId="539" priority="79" operator="equal">
      <formula>"Nivel del indicador que cumple las expectativas"</formula>
    </cfRule>
    <cfRule type="cellIs" dxfId="538" priority="80" operator="equal">
      <formula>"Nivel aceptable del indicador"</formula>
    </cfRule>
    <cfRule type="cellIs" dxfId="537" priority="81" operator="equal">
      <formula>"Se ha avanzado muy poco o nada en este indicador"</formula>
    </cfRule>
  </conditionalFormatting>
  <conditionalFormatting sqref="AE104:AE121">
    <cfRule type="cellIs" dxfId="536" priority="69" operator="equal">
      <formula>"Nivel del indicador que satisface y supera las expectativas"</formula>
    </cfRule>
    <cfRule type="cellIs" dxfId="535" priority="70" operator="equal">
      <formula>"Nivel del indicador que cumple las expectativas"</formula>
    </cfRule>
    <cfRule type="cellIs" dxfId="534" priority="71" operator="equal">
      <formula>"Nivel aceptable del indicador"</formula>
    </cfRule>
    <cfRule type="cellIs" dxfId="533" priority="72" operator="equal">
      <formula>"Se ha avanzado muy poco o nada en este indicador"</formula>
    </cfRule>
  </conditionalFormatting>
  <conditionalFormatting sqref="AJ104:AJ121">
    <cfRule type="cellIs" dxfId="532" priority="64" operator="equal">
      <formula>""</formula>
    </cfRule>
    <cfRule type="cellIs" dxfId="531" priority="65" operator="greaterThanOrEqual">
      <formula>99%</formula>
    </cfRule>
    <cfRule type="cellIs" dxfId="530" priority="66" operator="between">
      <formula>76%</formula>
      <formula>98.99%</formula>
    </cfRule>
    <cfRule type="cellIs" dxfId="529" priority="67" operator="between">
      <formula>34%</formula>
      <formula>75.99%</formula>
    </cfRule>
    <cfRule type="cellIs" dxfId="528" priority="68" operator="lessThanOrEqual">
      <formula>33.99%</formula>
    </cfRule>
  </conditionalFormatting>
  <conditionalFormatting sqref="AK104:AK121">
    <cfRule type="cellIs" dxfId="527" priority="60" operator="equal">
      <formula>"Nivel del indicador que satisface y supera las expectativas"</formula>
    </cfRule>
    <cfRule type="cellIs" dxfId="526" priority="61" operator="equal">
      <formula>"Nivel del indicador que cumple las expectativas"</formula>
    </cfRule>
    <cfRule type="cellIs" dxfId="525" priority="62" operator="equal">
      <formula>"Nivel aceptable del indicador"</formula>
    </cfRule>
    <cfRule type="cellIs" dxfId="524" priority="63" operator="equal">
      <formula>"Se ha avanzado muy poco o nada en este indicador"</formula>
    </cfRule>
  </conditionalFormatting>
  <conditionalFormatting sqref="S104:S121">
    <cfRule type="cellIs" dxfId="523" priority="59" operator="equal">
      <formula>"¡¡Ojo No Se Ejecutaron Actividades!!"</formula>
    </cfRule>
  </conditionalFormatting>
  <conditionalFormatting sqref="Y104:Y121">
    <cfRule type="cellIs" dxfId="522" priority="58" operator="equal">
      <formula>"¡¡Ojo No se Ejecutaron Actividades!!"</formula>
    </cfRule>
  </conditionalFormatting>
  <conditionalFormatting sqref="AE104:AE121">
    <cfRule type="cellIs" dxfId="521" priority="57" operator="equal">
      <formula>"¡¡Ojo No se Ejecutaron Actividades!!"</formula>
    </cfRule>
  </conditionalFormatting>
  <conditionalFormatting sqref="AK104:AK121">
    <cfRule type="cellIs" dxfId="520" priority="56" operator="equal">
      <formula>"¡¡Ojo No se Ejecutaron Actividades!!"</formula>
    </cfRule>
  </conditionalFormatting>
  <conditionalFormatting sqref="R4:R121">
    <cfRule type="cellIs" dxfId="519" priority="51" operator="equal">
      <formula>""</formula>
    </cfRule>
    <cfRule type="cellIs" dxfId="518" priority="52" operator="greaterThanOrEqual">
      <formula>25%</formula>
    </cfRule>
    <cfRule type="cellIs" dxfId="517" priority="53" operator="between">
      <formula>20%</formula>
      <formula>24.99%</formula>
    </cfRule>
    <cfRule type="cellIs" dxfId="516" priority="54" operator="between">
      <formula>9%</formula>
      <formula>19.99%</formula>
    </cfRule>
    <cfRule type="cellIs" dxfId="515" priority="55" operator="lessThanOrEqual">
      <formula>8.99%</formula>
    </cfRule>
  </conditionalFormatting>
  <conditionalFormatting sqref="X4:X121">
    <cfRule type="cellIs" dxfId="514" priority="46" operator="equal">
      <formula>""</formula>
    </cfRule>
    <cfRule type="cellIs" dxfId="513" priority="47" operator="greaterThanOrEqual">
      <formula>50%</formula>
    </cfRule>
    <cfRule type="cellIs" dxfId="512" priority="48" operator="between">
      <formula>37%</formula>
      <formula>49.99%</formula>
    </cfRule>
    <cfRule type="cellIs" dxfId="511" priority="49" operator="between">
      <formula>16%</formula>
      <formula>36.99%</formula>
    </cfRule>
    <cfRule type="cellIs" dxfId="510" priority="50" operator="lessThanOrEqual">
      <formula>15.99%</formula>
    </cfRule>
  </conditionalFormatting>
  <conditionalFormatting sqref="AD6:AD121">
    <cfRule type="cellIs" dxfId="509" priority="41" operator="equal">
      <formula>""</formula>
    </cfRule>
    <cfRule type="cellIs" dxfId="508" priority="42" operator="greaterThanOrEqual">
      <formula>75%</formula>
    </cfRule>
    <cfRule type="cellIs" dxfId="507" priority="43" operator="between">
      <formula>56%</formula>
      <formula>74.99%</formula>
    </cfRule>
    <cfRule type="cellIs" dxfId="506" priority="44" operator="between">
      <formula>25%</formula>
      <formula>55.99%</formula>
    </cfRule>
    <cfRule type="cellIs" dxfId="505" priority="45" operator="lessThanOrEqual">
      <formula>24.99%</formula>
    </cfRule>
  </conditionalFormatting>
  <conditionalFormatting sqref="AD3:AD5">
    <cfRule type="cellIs" dxfId="504" priority="1" operator="equal">
      <formula>""</formula>
    </cfRule>
    <cfRule type="cellIs" dxfId="503" priority="2" operator="greaterThanOrEqual">
      <formula>75%</formula>
    </cfRule>
    <cfRule type="cellIs" dxfId="502" priority="3" operator="between">
      <formula>56%</formula>
      <formula>74.99%</formula>
    </cfRule>
    <cfRule type="cellIs" dxfId="501" priority="4" operator="between">
      <formula>25%</formula>
      <formula>55.99%</formula>
    </cfRule>
    <cfRule type="cellIs" dxfId="500" priority="5" operator="lessThanOrEqual">
      <formula>24.99%</formula>
    </cfRule>
  </conditionalFormatting>
  <pageMargins left="0.7" right="0.7" top="0.75" bottom="0.75" header="0.3" footer="0.3"/>
  <pageSetup paperSize="9" orientation="portrait"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134"/>
  <sheetViews>
    <sheetView topLeftCell="N80" zoomScale="70" zoomScaleNormal="70" zoomScaleSheetLayoutView="40" zoomScalePageLayoutView="40" workbookViewId="0">
      <selection activeCell="U57" sqref="U57"/>
    </sheetView>
  </sheetViews>
  <sheetFormatPr baseColWidth="10" defaultColWidth="11.42578125" defaultRowHeight="15" x14ac:dyDescent="0.25"/>
  <cols>
    <col min="1" max="1" width="11.42578125" customWidth="1"/>
    <col min="2" max="2" width="11.7109375" customWidth="1"/>
    <col min="3" max="3" width="66.42578125" customWidth="1"/>
    <col min="4" max="4" width="14" customWidth="1"/>
    <col min="5" max="5" width="9.5703125" hidden="1" customWidth="1"/>
    <col min="6" max="6" width="8.85546875" hidden="1" customWidth="1"/>
    <col min="7" max="7" width="20.7109375" customWidth="1"/>
    <col min="8" max="8" width="18.7109375" customWidth="1"/>
    <col min="9" max="9" width="16.7109375" customWidth="1"/>
    <col min="10" max="10" width="14.85546875" bestFit="1" customWidth="1"/>
    <col min="11" max="11" width="29.5703125" customWidth="1"/>
    <col min="12" max="12" width="19.7109375" hidden="1" customWidth="1"/>
    <col min="13" max="13" width="14.5703125" hidden="1" customWidth="1"/>
    <col min="14" max="14" width="22" customWidth="1"/>
    <col min="15" max="15" width="19.7109375" customWidth="1"/>
    <col min="16" max="16" width="20" customWidth="1"/>
    <col min="17" max="17" width="13" customWidth="1"/>
    <col min="18" max="18" width="29" customWidth="1"/>
    <col min="19" max="19" width="18.42578125" style="219" hidden="1" customWidth="1"/>
    <col min="20" max="20" width="18.42578125" hidden="1" customWidth="1"/>
    <col min="21" max="21" width="20.85546875" style="190" customWidth="1"/>
    <col min="22" max="22" width="15.7109375" style="190" customWidth="1"/>
    <col min="23" max="23" width="15.5703125" style="190" customWidth="1"/>
    <col min="24" max="24" width="11.42578125" style="190" customWidth="1"/>
    <col min="25" max="25" width="28" style="190" customWidth="1"/>
    <col min="26" max="27" width="18.28515625" customWidth="1"/>
    <col min="28" max="28" width="14.28515625" customWidth="1"/>
    <col min="29" max="29" width="11.42578125" customWidth="1"/>
    <col min="30" max="30" width="34.85546875" customWidth="1"/>
    <col min="31" max="32" width="11.42578125" customWidth="1"/>
    <col min="33" max="33" width="19.7109375" customWidth="1"/>
    <col min="34" max="34" width="16" customWidth="1"/>
    <col min="35" max="35" width="11.42578125" customWidth="1"/>
    <col min="36" max="36" width="12.7109375" customWidth="1"/>
  </cols>
  <sheetData>
    <row r="1" spans="1:40" ht="15" customHeight="1" x14ac:dyDescent="0.25">
      <c r="A1" s="260" t="s">
        <v>213</v>
      </c>
      <c r="B1" s="263" t="s">
        <v>212</v>
      </c>
      <c r="C1" s="263" t="s">
        <v>211</v>
      </c>
      <c r="D1" s="263" t="s">
        <v>264</v>
      </c>
      <c r="E1" s="272" t="s">
        <v>191</v>
      </c>
      <c r="F1" s="272"/>
      <c r="G1" s="272"/>
      <c r="H1" s="272"/>
      <c r="I1" s="272"/>
      <c r="J1" s="272"/>
      <c r="K1" s="272"/>
      <c r="L1" s="275" t="s">
        <v>197</v>
      </c>
      <c r="M1" s="275"/>
      <c r="N1" s="275"/>
      <c r="O1" s="275"/>
      <c r="P1" s="275"/>
      <c r="Q1" s="275"/>
      <c r="R1" s="275"/>
      <c r="S1" s="273" t="s">
        <v>200</v>
      </c>
      <c r="T1" s="273"/>
      <c r="U1" s="273"/>
      <c r="V1" s="273"/>
      <c r="W1" s="273"/>
      <c r="X1" s="273"/>
      <c r="Y1" s="273"/>
      <c r="Z1" s="269" t="s">
        <v>204</v>
      </c>
      <c r="AA1" s="269"/>
      <c r="AB1" s="269"/>
      <c r="AC1" s="269"/>
      <c r="AD1" s="269"/>
    </row>
    <row r="2" spans="1:40" ht="35.25" customHeight="1" x14ac:dyDescent="0.25">
      <c r="A2" s="261"/>
      <c r="B2" s="264"/>
      <c r="C2" s="264"/>
      <c r="D2" s="264"/>
      <c r="E2" s="61" t="s">
        <v>262</v>
      </c>
      <c r="F2" s="203" t="s">
        <v>825</v>
      </c>
      <c r="G2" s="203" t="s">
        <v>830</v>
      </c>
      <c r="H2" s="61" t="s">
        <v>263</v>
      </c>
      <c r="I2" s="61" t="s">
        <v>551</v>
      </c>
      <c r="J2" s="271" t="s">
        <v>274</v>
      </c>
      <c r="K2" s="271"/>
      <c r="L2" s="60" t="s">
        <v>262</v>
      </c>
      <c r="M2" s="205" t="s">
        <v>825</v>
      </c>
      <c r="N2" s="205" t="s">
        <v>830</v>
      </c>
      <c r="O2" s="60" t="s">
        <v>263</v>
      </c>
      <c r="P2" s="60" t="s">
        <v>195</v>
      </c>
      <c r="Q2" s="276" t="s">
        <v>274</v>
      </c>
      <c r="R2" s="276"/>
      <c r="S2" s="216" t="s">
        <v>262</v>
      </c>
      <c r="T2" s="204" t="s">
        <v>825</v>
      </c>
      <c r="U2" s="252" t="s">
        <v>830</v>
      </c>
      <c r="V2" s="247" t="s">
        <v>263</v>
      </c>
      <c r="W2" s="247" t="s">
        <v>551</v>
      </c>
      <c r="X2" s="298" t="s">
        <v>274</v>
      </c>
      <c r="Y2" s="298"/>
      <c r="Z2" s="63" t="s">
        <v>262</v>
      </c>
      <c r="AA2" s="63" t="s">
        <v>263</v>
      </c>
      <c r="AB2" s="63" t="s">
        <v>195</v>
      </c>
      <c r="AC2" s="270" t="s">
        <v>274</v>
      </c>
      <c r="AD2" s="270"/>
      <c r="AH2" s="64" t="s">
        <v>191</v>
      </c>
      <c r="AI2" s="64" t="s">
        <v>197</v>
      </c>
      <c r="AJ2" s="64" t="s">
        <v>200</v>
      </c>
      <c r="AK2" s="64" t="s">
        <v>204</v>
      </c>
    </row>
    <row r="3" spans="1:40" ht="31.5" customHeight="1" x14ac:dyDescent="0.25">
      <c r="A3" s="91" t="s">
        <v>183</v>
      </c>
      <c r="B3" s="91" t="s">
        <v>169</v>
      </c>
      <c r="C3" s="92" t="s">
        <v>172</v>
      </c>
      <c r="D3" s="93" t="s">
        <v>265</v>
      </c>
      <c r="E3" s="116">
        <v>54000000</v>
      </c>
      <c r="F3" s="207">
        <v>0.25</v>
      </c>
      <c r="G3" s="116">
        <v>21581202</v>
      </c>
      <c r="H3" s="116">
        <v>21581202</v>
      </c>
      <c r="I3" s="67">
        <f>G3-H3</f>
        <v>0</v>
      </c>
      <c r="J3" s="68">
        <f t="shared" ref="J3:J66" si="0">IFERROR((H3/G3),0)</f>
        <v>1</v>
      </c>
      <c r="K3" s="55" t="str">
        <f t="shared" ref="K3:K71" si="1">IF(AND(E3&gt;0,H3=""),"¡¡Ojo No se Ejecuto Presupuesto!!",IF(J3=0%,"",IF(J3&lt;9%,"Se ha avanzado muy poco o nada en este indicador",IF(J3&lt;=20%,"Nivel Aceptable del Indicador",IF(J3&lt;=25%,"Nivel del indicador que cumple las expectativas","Nivel del indicador que satisface y supera las expectativas")))))</f>
        <v>Nivel del indicador que satisface y supera las expectativas</v>
      </c>
      <c r="L3" s="179">
        <v>57500000</v>
      </c>
      <c r="M3" s="207">
        <v>0.5</v>
      </c>
      <c r="N3" s="179">
        <v>36143227</v>
      </c>
      <c r="O3" s="179">
        <v>36143227</v>
      </c>
      <c r="P3" s="70">
        <f>N3-O3</f>
        <v>0</v>
      </c>
      <c r="Q3" s="59">
        <f>IFERROR((O3/N3),0)</f>
        <v>1</v>
      </c>
      <c r="R3" s="55" t="str">
        <f t="shared" ref="R3:R4" si="2">IF(AND(L3&gt;0,O3=""),"¡¡Ojo No se Ejecuto Presupuesto!!",IF(Q3=0%,"",IF(Q3&lt;16%,"Se ha avanzado muy poco o nada en este indicador",IF(Q3&lt;=37%,"Nivel Aceptable del Indicador",IF(Q3&lt;=50%,"Nivel del indicador que cumple las expectativas","Nivel del indicador que satisface y supera las expectativas")))))</f>
        <v>Nivel del indicador que satisface y supera las expectativas</v>
      </c>
      <c r="S3" s="217">
        <v>57500000</v>
      </c>
      <c r="T3" s="215">
        <v>0.75</v>
      </c>
      <c r="U3" s="248">
        <v>43942518</v>
      </c>
      <c r="V3" s="248">
        <v>43942518</v>
      </c>
      <c r="W3" s="248">
        <f>U3-V3</f>
        <v>0</v>
      </c>
      <c r="X3" s="59">
        <f t="shared" ref="X3" si="3">IFERROR((V3/U3),0)</f>
        <v>1</v>
      </c>
      <c r="Y3" s="249" t="str">
        <f>IF(AND(U3&gt;0,V3=""),"¡¡Ojo No se Ejecuto Presupuesto!!",IF(X3="","",IF(X3&lt;24.99%,"Se ha avanzado muy poco o nada en este indicador",IF(X3&lt;=55.99%,"Nivel Aceptable del Indicador",IF(X3&lt;=74.99%,"Nivel del indicador que cumple las expectativas","Nivel del indicador que satisface y supera las expectativas")))))</f>
        <v>Nivel del indicador que satisface y supera las expectativas</v>
      </c>
      <c r="Z3" s="70"/>
      <c r="AA3" s="70"/>
      <c r="AB3" s="70">
        <f>Z3-AA3</f>
        <v>0</v>
      </c>
      <c r="AC3" s="59" t="str">
        <f>IF(AB3&gt;0,AA3/Z3,"")</f>
        <v/>
      </c>
      <c r="AD3" s="55" t="str">
        <f>IF(AND(Z3&gt;0,AA3=""),"¡¡Ojo No se Ejecuto Presupuesto!!",IF(AC3="","",IF(AC3&lt;33.99%,"Se ha avanzado muy poco o nada en este indicador",IF(AC3&lt;=75.99%,"Nivel Aceptable del Indicador",IF(AC3&lt;=98.99%,"Nivel del indicador que cumple las expectativas","Nivel del indicador que satisface y supera las expectativas")))))</f>
        <v/>
      </c>
      <c r="AH3" s="79">
        <f>IFERROR((H3/E3),0)</f>
        <v>0.39965188888888886</v>
      </c>
      <c r="AI3" s="79">
        <f>IFERROR((O3/L3),0)</f>
        <v>0.62857786086956524</v>
      </c>
      <c r="AJ3" s="79">
        <f>IFERROR((V3/U3),0)</f>
        <v>1</v>
      </c>
      <c r="AK3" s="79">
        <f>IFERROR((AA3/Z3),0)</f>
        <v>0</v>
      </c>
      <c r="AM3" s="94">
        <f>SUM(E3:E7)</f>
        <v>182000000</v>
      </c>
      <c r="AN3" s="80">
        <f>H3/$AM$3</f>
        <v>0.11857803296703297</v>
      </c>
    </row>
    <row r="4" spans="1:40" ht="45" x14ac:dyDescent="0.25">
      <c r="A4" s="91" t="s">
        <v>183</v>
      </c>
      <c r="B4" s="91" t="s">
        <v>170</v>
      </c>
      <c r="C4" s="92" t="s">
        <v>173</v>
      </c>
      <c r="D4" s="93" t="s">
        <v>266</v>
      </c>
      <c r="E4" s="116">
        <v>56000000</v>
      </c>
      <c r="F4" s="207">
        <v>0.25</v>
      </c>
      <c r="G4" s="116">
        <f t="shared" ref="G4:G64" si="4">+E4*F4</f>
        <v>14000000</v>
      </c>
      <c r="H4" s="117">
        <v>13458974</v>
      </c>
      <c r="I4" s="67">
        <f t="shared" ref="I4:I67" si="5">G4-H4</f>
        <v>541026</v>
      </c>
      <c r="J4" s="68">
        <f t="shared" si="0"/>
        <v>0.96135528571428575</v>
      </c>
      <c r="K4" s="55" t="str">
        <f t="shared" si="1"/>
        <v>Nivel del indicador que satisface y supera las expectativas</v>
      </c>
      <c r="L4" s="179">
        <v>56000000</v>
      </c>
      <c r="M4" s="207">
        <v>0.5</v>
      </c>
      <c r="N4" s="116">
        <v>14200000</v>
      </c>
      <c r="O4" s="179">
        <v>13458974</v>
      </c>
      <c r="P4" s="70">
        <f t="shared" ref="P4:P67" si="6">N4-O4</f>
        <v>741026</v>
      </c>
      <c r="Q4" s="59">
        <f t="shared" ref="Q4:Q66" si="7">IFERROR((O4/N4),0)</f>
        <v>0.94781507042253521</v>
      </c>
      <c r="R4" s="55" t="str">
        <f t="shared" si="2"/>
        <v>Nivel del indicador que satisface y supera las expectativas</v>
      </c>
      <c r="S4" s="217">
        <v>38000000</v>
      </c>
      <c r="T4" s="215">
        <v>0.75</v>
      </c>
      <c r="U4" s="248">
        <v>29492710</v>
      </c>
      <c r="V4" s="248">
        <v>29492710</v>
      </c>
      <c r="W4" s="248">
        <f t="shared" ref="W4:W67" si="8">U4-V4</f>
        <v>0</v>
      </c>
      <c r="X4" s="59">
        <f t="shared" ref="X4:X9" si="9">IFERROR((V4/U4),0)</f>
        <v>1</v>
      </c>
      <c r="Y4" s="249" t="str">
        <f t="shared" ref="Y4:Y9" si="10">IF(AND(U4&gt;0,V4=""),"¡¡Ojo No se Ejecuto Presupuesto!!",IF(X4="","",IF(X4&lt;24.99%,"Se ha avanzado muy poco o nada en este indicador",IF(X4&lt;=55.99%,"Nivel Aceptable del Indicador",IF(X4&lt;=74.99%,"Nivel del indicador que cumple las expectativas","Nivel del indicador que satisface y supera las expectativas")))))</f>
        <v>Nivel del indicador que satisface y supera las expectativas</v>
      </c>
      <c r="Z4" s="70"/>
      <c r="AA4" s="70"/>
      <c r="AB4" s="70">
        <f t="shared" ref="AB4:AB33" si="11">Z4-AA4</f>
        <v>0</v>
      </c>
      <c r="AC4" s="59" t="str">
        <f t="shared" ref="AC4:AC33" si="12">IF(AB4&gt;0,AA4/Z4,"")</f>
        <v/>
      </c>
      <c r="AD4" s="55" t="str">
        <f t="shared" ref="AD4:AD33" si="13">IF(AND(Z4&gt;0,AA4=""),"¡¡Ojo No se Ejecuto Presupuesto!!",IF(AC4="","",IF(AC4&lt;33.99%,"Se ha avanzado muy poco o nada en este indicador",IF(AC4&lt;=75.99%,"Nivel Aceptable del Indicador",IF(AC4&lt;=98.99%,"Nivel del indicador que cumple las expectativas","Nivel del indicador que satisface y supera las expectativas")))))</f>
        <v/>
      </c>
      <c r="AH4" s="79">
        <f t="shared" ref="AH4:AH33" si="14">IFERROR((H4/E4),0)</f>
        <v>0.24033882142857144</v>
      </c>
      <c r="AI4" s="79">
        <f t="shared" ref="AI4:AI33" si="15">IFERROR((O4/L4),0)</f>
        <v>0.24033882142857144</v>
      </c>
      <c r="AJ4" s="79">
        <f t="shared" ref="AJ4:AJ33" si="16">IFERROR((V4/S4),0)</f>
        <v>0.77612394736842105</v>
      </c>
      <c r="AK4" s="79">
        <f t="shared" ref="AK4:AK33" si="17">IFERROR((AA4/Z4),0)</f>
        <v>0</v>
      </c>
      <c r="AN4" s="80">
        <f t="shared" ref="AN4:AN7" si="18">H4/$AM$3</f>
        <v>7.3950406593406598E-2</v>
      </c>
    </row>
    <row r="5" spans="1:40" ht="37.5" customHeight="1" x14ac:dyDescent="0.25">
      <c r="A5" s="91" t="s">
        <v>183</v>
      </c>
      <c r="B5" s="91" t="s">
        <v>171</v>
      </c>
      <c r="C5" s="92" t="s">
        <v>190</v>
      </c>
      <c r="D5" s="93" t="s">
        <v>266</v>
      </c>
      <c r="E5" s="116">
        <v>38000000</v>
      </c>
      <c r="F5" s="207">
        <v>0.25</v>
      </c>
      <c r="G5" s="116">
        <f t="shared" si="4"/>
        <v>9500000</v>
      </c>
      <c r="H5" s="117">
        <v>2200000</v>
      </c>
      <c r="I5" s="67">
        <f t="shared" si="5"/>
        <v>7300000</v>
      </c>
      <c r="J5" s="68">
        <f t="shared" si="0"/>
        <v>0.23157894736842105</v>
      </c>
      <c r="K5" s="55" t="str">
        <f t="shared" si="1"/>
        <v>Nivel del indicador que cumple las expectativas</v>
      </c>
      <c r="L5" s="179">
        <v>38000000</v>
      </c>
      <c r="M5" s="207">
        <v>0.5</v>
      </c>
      <c r="N5" s="116">
        <v>14000000</v>
      </c>
      <c r="O5" s="179">
        <v>13112130</v>
      </c>
      <c r="P5" s="70">
        <f t="shared" si="6"/>
        <v>887870</v>
      </c>
      <c r="Q5" s="59">
        <f t="shared" si="7"/>
        <v>0.93658071428571432</v>
      </c>
      <c r="R5" s="55" t="str">
        <f>IF(AND(L5&gt;0,O5=""),"¡¡Ojo No se Ejecuto Presupuesto!!",IF(Q5=0%,"",IF(Q5&lt;16%,"Se ha avanzado muy poco o nada en este indicador",IF(Q5&lt;=37%,"Nivel Aceptable del Indicador",IF(Q5&lt;=50%,"Nivel del indicador que cumple las expectativas","Nivel del indicador que satisface y supera las expectativas")))))</f>
        <v>Nivel del indicador que satisface y supera las expectativas</v>
      </c>
      <c r="S5" s="217">
        <v>59570087</v>
      </c>
      <c r="T5" s="215">
        <v>0.75</v>
      </c>
      <c r="U5" s="248">
        <f t="shared" ref="U5:U64" si="19">+S5*T5</f>
        <v>44677565.25</v>
      </c>
      <c r="V5" s="248">
        <v>19869614</v>
      </c>
      <c r="W5" s="248">
        <f t="shared" si="8"/>
        <v>24807951.25</v>
      </c>
      <c r="X5" s="59">
        <f t="shared" si="9"/>
        <v>0.44473359031130283</v>
      </c>
      <c r="Y5" s="249" t="str">
        <f t="shared" si="10"/>
        <v>Nivel Aceptable del Indicador</v>
      </c>
      <c r="Z5" s="70"/>
      <c r="AA5" s="70"/>
      <c r="AB5" s="70">
        <f t="shared" si="11"/>
        <v>0</v>
      </c>
      <c r="AC5" s="59" t="str">
        <f t="shared" si="12"/>
        <v/>
      </c>
      <c r="AD5" s="55" t="str">
        <f t="shared" si="13"/>
        <v/>
      </c>
      <c r="AH5" s="79">
        <f t="shared" si="14"/>
        <v>5.7894736842105263E-2</v>
      </c>
      <c r="AI5" s="79">
        <f t="shared" si="15"/>
        <v>0.34505605263157896</v>
      </c>
      <c r="AJ5" s="79">
        <f t="shared" si="16"/>
        <v>0.33355019273347714</v>
      </c>
      <c r="AK5" s="79">
        <f t="shared" si="17"/>
        <v>0</v>
      </c>
      <c r="AN5" s="80">
        <f t="shared" si="18"/>
        <v>1.2087912087912088E-2</v>
      </c>
    </row>
    <row r="6" spans="1:40" ht="75" x14ac:dyDescent="0.25">
      <c r="A6" s="91" t="s">
        <v>183</v>
      </c>
      <c r="B6" s="91" t="s">
        <v>174</v>
      </c>
      <c r="C6" s="92" t="s">
        <v>176</v>
      </c>
      <c r="D6" s="93" t="s">
        <v>267</v>
      </c>
      <c r="E6" s="116">
        <v>9000000</v>
      </c>
      <c r="F6" s="207">
        <v>0.25</v>
      </c>
      <c r="G6" s="116">
        <f t="shared" si="4"/>
        <v>2250000</v>
      </c>
      <c r="H6" s="117">
        <v>0.1</v>
      </c>
      <c r="I6" s="67">
        <f t="shared" si="5"/>
        <v>2249999.9</v>
      </c>
      <c r="J6" s="68">
        <f t="shared" si="0"/>
        <v>4.4444444444444448E-8</v>
      </c>
      <c r="K6" s="55" t="str">
        <f t="shared" ref="K6:K17" si="20">IF(AND(E6&gt;0,H6=""),"¡¡Ojo No se Ejecuto Presupuesto!!",IF(J6=0%,"",IF(J6&lt;9%,"Se ha avanzado muy poco o nada en este indicador",IF(J6&lt;=20%,"Nivel Aceptable del Indicador",IF(J6&lt;=25%,"Nivel del indicador que cumple las expectativas","Nivel del indicador que satisface y supera las expectativas")))))</f>
        <v>Se ha avanzado muy poco o nada en este indicador</v>
      </c>
      <c r="L6" s="179">
        <v>9000000</v>
      </c>
      <c r="M6" s="207">
        <v>0.5</v>
      </c>
      <c r="N6" s="116">
        <f>+L6*M6</f>
        <v>4500000</v>
      </c>
      <c r="O6" s="179">
        <v>0.1</v>
      </c>
      <c r="P6" s="70">
        <f t="shared" si="6"/>
        <v>4499999.9000000004</v>
      </c>
      <c r="Q6" s="59">
        <f t="shared" si="7"/>
        <v>2.2222222222222224E-8</v>
      </c>
      <c r="R6" s="55" t="str">
        <f t="shared" ref="R6:R18" si="21">IF(AND(L6&gt;0,O6=""),"¡¡Ojo No se Ejecuto Presupuesto!!",IF(Q6=0%,"",IF(Q6&lt;16%,"Se ha avanzado muy poco o nada en este indicador",IF(Q6&lt;=37%,"Nivel Aceptable del Indicador",IF(Q6&lt;=50%,"Nivel del indicador que cumple las expectativas","Nivel del indicador que satisface y supera las expectativas")))))</f>
        <v>Se ha avanzado muy poco o nada en este indicador</v>
      </c>
      <c r="S6" s="217">
        <v>5429913</v>
      </c>
      <c r="T6" s="215">
        <v>0.75</v>
      </c>
      <c r="U6" s="248">
        <v>5429913</v>
      </c>
      <c r="V6" s="248">
        <v>5429913</v>
      </c>
      <c r="W6" s="248">
        <f t="shared" si="8"/>
        <v>0</v>
      </c>
      <c r="X6" s="59">
        <f t="shared" si="9"/>
        <v>1</v>
      </c>
      <c r="Y6" s="249" t="str">
        <f t="shared" si="10"/>
        <v>Nivel del indicador que satisface y supera las expectativas</v>
      </c>
      <c r="Z6" s="70"/>
      <c r="AA6" s="70"/>
      <c r="AB6" s="70">
        <f t="shared" si="11"/>
        <v>0</v>
      </c>
      <c r="AC6" s="59" t="str">
        <f t="shared" si="12"/>
        <v/>
      </c>
      <c r="AD6" s="55" t="str">
        <f t="shared" si="13"/>
        <v/>
      </c>
      <c r="AH6" s="79">
        <f t="shared" si="14"/>
        <v>1.1111111111111112E-8</v>
      </c>
      <c r="AI6" s="79">
        <f t="shared" si="15"/>
        <v>1.1111111111111112E-8</v>
      </c>
      <c r="AJ6" s="79">
        <f t="shared" si="16"/>
        <v>1</v>
      </c>
      <c r="AK6" s="79">
        <f t="shared" si="17"/>
        <v>0</v>
      </c>
      <c r="AN6" s="80">
        <f t="shared" si="18"/>
        <v>5.4945054945054949E-10</v>
      </c>
    </row>
    <row r="7" spans="1:40" ht="60" x14ac:dyDescent="0.25">
      <c r="A7" s="91" t="s">
        <v>183</v>
      </c>
      <c r="B7" s="91" t="s">
        <v>175</v>
      </c>
      <c r="C7" s="92" t="s">
        <v>177</v>
      </c>
      <c r="D7" s="93" t="s">
        <v>268</v>
      </c>
      <c r="E7" s="116">
        <v>25000000</v>
      </c>
      <c r="F7" s="207">
        <v>0.25</v>
      </c>
      <c r="G7" s="116">
        <f t="shared" si="4"/>
        <v>6250000</v>
      </c>
      <c r="H7" s="116">
        <v>0.1</v>
      </c>
      <c r="I7" s="67">
        <f t="shared" si="5"/>
        <v>6249999.9000000004</v>
      </c>
      <c r="J7" s="68">
        <f t="shared" si="0"/>
        <v>1.6000000000000001E-8</v>
      </c>
      <c r="K7" s="55" t="str">
        <f t="shared" si="20"/>
        <v>Se ha avanzado muy poco o nada en este indicador</v>
      </c>
      <c r="L7" s="179">
        <v>25000000</v>
      </c>
      <c r="M7" s="207">
        <v>0.5</v>
      </c>
      <c r="N7" s="116">
        <f>+L7*M7</f>
        <v>12500000</v>
      </c>
      <c r="O7" s="179">
        <v>0.1</v>
      </c>
      <c r="P7" s="70">
        <f t="shared" si="6"/>
        <v>12499999.9</v>
      </c>
      <c r="Q7" s="59">
        <f t="shared" si="7"/>
        <v>8.0000000000000005E-9</v>
      </c>
      <c r="R7" s="55" t="str">
        <f t="shared" si="21"/>
        <v>Se ha avanzado muy poco o nada en este indicador</v>
      </c>
      <c r="S7" s="217">
        <v>25000000</v>
      </c>
      <c r="T7" s="215">
        <v>0.75</v>
      </c>
      <c r="U7" s="250">
        <f t="shared" si="19"/>
        <v>18750000</v>
      </c>
      <c r="V7" s="248">
        <v>1328236</v>
      </c>
      <c r="W7" s="248">
        <f t="shared" si="8"/>
        <v>17421764</v>
      </c>
      <c r="X7" s="59">
        <f t="shared" si="9"/>
        <v>7.0839253333333338E-2</v>
      </c>
      <c r="Y7" s="249" t="str">
        <f t="shared" si="10"/>
        <v>Se ha avanzado muy poco o nada en este indicador</v>
      </c>
      <c r="Z7" s="70"/>
      <c r="AA7" s="70"/>
      <c r="AB7" s="70">
        <f t="shared" si="11"/>
        <v>0</v>
      </c>
      <c r="AC7" s="59" t="str">
        <f t="shared" si="12"/>
        <v/>
      </c>
      <c r="AD7" s="55" t="str">
        <f t="shared" si="13"/>
        <v/>
      </c>
      <c r="AH7" s="79">
        <f t="shared" si="14"/>
        <v>4.0000000000000002E-9</v>
      </c>
      <c r="AI7" s="79">
        <f t="shared" si="15"/>
        <v>4.0000000000000002E-9</v>
      </c>
      <c r="AJ7" s="79">
        <f t="shared" si="16"/>
        <v>5.312944E-2</v>
      </c>
      <c r="AK7" s="79">
        <f t="shared" si="17"/>
        <v>0</v>
      </c>
      <c r="AN7" s="80">
        <f t="shared" si="18"/>
        <v>5.4945054945054949E-10</v>
      </c>
    </row>
    <row r="8" spans="1:40" ht="45" x14ac:dyDescent="0.25">
      <c r="A8" s="91" t="s">
        <v>184</v>
      </c>
      <c r="B8" s="91" t="s">
        <v>178</v>
      </c>
      <c r="C8" s="92" t="s">
        <v>185</v>
      </c>
      <c r="D8" s="93" t="s">
        <v>267</v>
      </c>
      <c r="E8" s="116">
        <v>37000000</v>
      </c>
      <c r="F8" s="207">
        <v>0.25</v>
      </c>
      <c r="G8" s="116">
        <f t="shared" si="4"/>
        <v>9250000</v>
      </c>
      <c r="H8" s="117">
        <v>6434118</v>
      </c>
      <c r="I8" s="67">
        <f t="shared" si="5"/>
        <v>2815882</v>
      </c>
      <c r="J8" s="68">
        <f t="shared" si="0"/>
        <v>0.69558032432432437</v>
      </c>
      <c r="K8" s="55" t="str">
        <f t="shared" si="20"/>
        <v>Nivel del indicador que satisface y supera las expectativas</v>
      </c>
      <c r="L8" s="179">
        <v>40000000</v>
      </c>
      <c r="M8" s="207">
        <v>0.5</v>
      </c>
      <c r="N8" s="116">
        <v>9000000</v>
      </c>
      <c r="O8" s="179">
        <v>8153118</v>
      </c>
      <c r="P8" s="70">
        <f t="shared" si="6"/>
        <v>846882</v>
      </c>
      <c r="Q8" s="59">
        <f t="shared" si="7"/>
        <v>0.90590199999999999</v>
      </c>
      <c r="R8" s="55" t="str">
        <f t="shared" si="21"/>
        <v>Nivel del indicador que satisface y supera las expectativas</v>
      </c>
      <c r="S8" s="217">
        <v>40000000</v>
      </c>
      <c r="T8" s="215">
        <v>0.75</v>
      </c>
      <c r="U8" s="248">
        <v>15000000</v>
      </c>
      <c r="V8" s="246">
        <v>12353118</v>
      </c>
      <c r="W8" s="248">
        <f t="shared" si="8"/>
        <v>2646882</v>
      </c>
      <c r="X8" s="59">
        <f t="shared" si="9"/>
        <v>0.82354119999999997</v>
      </c>
      <c r="Y8" s="249" t="str">
        <f t="shared" si="10"/>
        <v>Nivel del indicador que satisface y supera las expectativas</v>
      </c>
      <c r="Z8" s="70"/>
      <c r="AA8" s="70"/>
      <c r="AB8" s="70">
        <f t="shared" si="11"/>
        <v>0</v>
      </c>
      <c r="AC8" s="59" t="str">
        <f t="shared" si="12"/>
        <v/>
      </c>
      <c r="AD8" s="55" t="str">
        <f t="shared" si="13"/>
        <v/>
      </c>
      <c r="AH8" s="79">
        <f t="shared" si="14"/>
        <v>0.17389508108108109</v>
      </c>
      <c r="AI8" s="79">
        <f t="shared" si="15"/>
        <v>0.20382795000000001</v>
      </c>
      <c r="AJ8" s="79">
        <f t="shared" si="16"/>
        <v>0.30882795000000002</v>
      </c>
      <c r="AK8" s="79">
        <f t="shared" si="17"/>
        <v>0</v>
      </c>
    </row>
    <row r="9" spans="1:40" ht="15" customHeight="1" x14ac:dyDescent="0.25">
      <c r="A9" s="91" t="s">
        <v>184</v>
      </c>
      <c r="B9" s="91" t="s">
        <v>179</v>
      </c>
      <c r="C9" s="92" t="s">
        <v>186</v>
      </c>
      <c r="D9" s="93" t="s">
        <v>267</v>
      </c>
      <c r="E9" s="116">
        <v>0</v>
      </c>
      <c r="F9" s="207">
        <v>0.25</v>
      </c>
      <c r="G9" s="116">
        <f t="shared" si="4"/>
        <v>0</v>
      </c>
      <c r="H9" s="117">
        <v>0</v>
      </c>
      <c r="I9" s="67">
        <f t="shared" si="5"/>
        <v>0</v>
      </c>
      <c r="J9" s="68">
        <f t="shared" si="0"/>
        <v>0</v>
      </c>
      <c r="K9" s="55" t="str">
        <f t="shared" si="20"/>
        <v/>
      </c>
      <c r="L9" s="179">
        <v>0</v>
      </c>
      <c r="M9" s="207">
        <v>0.5</v>
      </c>
      <c r="N9" s="116">
        <f t="shared" ref="N9:N66" si="22">+L9*M9</f>
        <v>0</v>
      </c>
      <c r="O9" s="179">
        <v>0</v>
      </c>
      <c r="P9" s="70">
        <f t="shared" si="6"/>
        <v>0</v>
      </c>
      <c r="Q9" s="59">
        <f t="shared" si="7"/>
        <v>0</v>
      </c>
      <c r="R9" s="55" t="str">
        <f t="shared" si="21"/>
        <v/>
      </c>
      <c r="S9" s="217">
        <v>0</v>
      </c>
      <c r="T9" s="215">
        <v>0.75</v>
      </c>
      <c r="U9" s="248">
        <f t="shared" si="19"/>
        <v>0</v>
      </c>
      <c r="V9" s="248">
        <v>0</v>
      </c>
      <c r="W9" s="248">
        <f t="shared" si="8"/>
        <v>0</v>
      </c>
      <c r="X9" s="59">
        <f t="shared" si="9"/>
        <v>0</v>
      </c>
      <c r="Y9" s="249" t="str">
        <f t="shared" si="10"/>
        <v>Se ha avanzado muy poco o nada en este indicador</v>
      </c>
      <c r="Z9" s="70"/>
      <c r="AA9" s="70"/>
      <c r="AB9" s="70">
        <f t="shared" si="11"/>
        <v>0</v>
      </c>
      <c r="AC9" s="59" t="str">
        <f t="shared" si="12"/>
        <v/>
      </c>
      <c r="AD9" s="55" t="str">
        <f t="shared" si="13"/>
        <v/>
      </c>
      <c r="AH9" s="79">
        <f t="shared" si="14"/>
        <v>0</v>
      </c>
      <c r="AI9" s="79">
        <f t="shared" si="15"/>
        <v>0</v>
      </c>
      <c r="AJ9" s="79">
        <f t="shared" si="16"/>
        <v>0</v>
      </c>
      <c r="AK9" s="79">
        <f t="shared" si="17"/>
        <v>0</v>
      </c>
    </row>
    <row r="10" spans="1:40" ht="15" customHeight="1" x14ac:dyDescent="0.25">
      <c r="A10" s="91" t="s">
        <v>184</v>
      </c>
      <c r="B10" s="91" t="s">
        <v>180</v>
      </c>
      <c r="C10" s="92" t="s">
        <v>187</v>
      </c>
      <c r="D10" s="93" t="s">
        <v>267</v>
      </c>
      <c r="E10" s="116">
        <v>0</v>
      </c>
      <c r="F10" s="207">
        <v>0.25</v>
      </c>
      <c r="G10" s="116">
        <f t="shared" si="4"/>
        <v>0</v>
      </c>
      <c r="H10" s="117">
        <v>0</v>
      </c>
      <c r="I10" s="67">
        <f t="shared" si="5"/>
        <v>0</v>
      </c>
      <c r="J10" s="68">
        <f t="shared" si="0"/>
        <v>0</v>
      </c>
      <c r="K10" s="55" t="str">
        <f t="shared" si="20"/>
        <v/>
      </c>
      <c r="L10" s="179">
        <v>0</v>
      </c>
      <c r="M10" s="207">
        <v>0.5</v>
      </c>
      <c r="N10" s="116">
        <f t="shared" si="22"/>
        <v>0</v>
      </c>
      <c r="O10" s="179">
        <v>0</v>
      </c>
      <c r="P10" s="70">
        <f t="shared" si="6"/>
        <v>0</v>
      </c>
      <c r="Q10" s="59">
        <f t="shared" si="7"/>
        <v>0</v>
      </c>
      <c r="R10" s="55" t="str">
        <f t="shared" si="21"/>
        <v/>
      </c>
      <c r="S10" s="217">
        <v>0</v>
      </c>
      <c r="T10" s="215">
        <v>0.75</v>
      </c>
      <c r="U10" s="248">
        <f t="shared" si="19"/>
        <v>0</v>
      </c>
      <c r="V10" s="248">
        <v>0</v>
      </c>
      <c r="W10" s="248">
        <f t="shared" si="8"/>
        <v>0</v>
      </c>
      <c r="X10" s="59">
        <f t="shared" ref="X10:X73" si="23">IFERROR((V10/U10),0)</f>
        <v>0</v>
      </c>
      <c r="Y10" s="249" t="str">
        <f t="shared" ref="Y10:Y73" si="24">IF(AND(U10&gt;0,V10=""),"¡¡Ojo No se Ejecuto Presupuesto!!",IF(X10="","",IF(X10&lt;24.99%,"Se ha avanzado muy poco o nada en este indicador",IF(X10&lt;=55.99%,"Nivel Aceptable del Indicador",IF(X10&lt;=74.99%,"Nivel del indicador que cumple las expectativas","Nivel del indicador que satisface y supera las expectativas")))))</f>
        <v>Se ha avanzado muy poco o nada en este indicador</v>
      </c>
      <c r="Z10" s="70"/>
      <c r="AA10" s="70"/>
      <c r="AB10" s="70">
        <f t="shared" si="11"/>
        <v>0</v>
      </c>
      <c r="AC10" s="59" t="str">
        <f t="shared" si="12"/>
        <v/>
      </c>
      <c r="AD10" s="55" t="str">
        <f t="shared" si="13"/>
        <v/>
      </c>
      <c r="AH10" s="79">
        <f t="shared" si="14"/>
        <v>0</v>
      </c>
      <c r="AI10" s="79">
        <f t="shared" si="15"/>
        <v>0</v>
      </c>
      <c r="AJ10" s="79">
        <f t="shared" si="16"/>
        <v>0</v>
      </c>
      <c r="AK10" s="79">
        <f t="shared" si="17"/>
        <v>0</v>
      </c>
    </row>
    <row r="11" spans="1:40" ht="15" customHeight="1" x14ac:dyDescent="0.25">
      <c r="A11" s="91" t="s">
        <v>184</v>
      </c>
      <c r="B11" s="91" t="s">
        <v>181</v>
      </c>
      <c r="C11" s="92" t="s">
        <v>188</v>
      </c>
      <c r="D11" s="93" t="s">
        <v>267</v>
      </c>
      <c r="E11" s="116">
        <v>0</v>
      </c>
      <c r="F11" s="207">
        <v>0.25</v>
      </c>
      <c r="G11" s="116">
        <f t="shared" si="4"/>
        <v>0</v>
      </c>
      <c r="H11" s="116">
        <v>0</v>
      </c>
      <c r="I11" s="67">
        <f t="shared" si="5"/>
        <v>0</v>
      </c>
      <c r="J11" s="68">
        <f t="shared" si="0"/>
        <v>0</v>
      </c>
      <c r="K11" s="55" t="str">
        <f t="shared" si="20"/>
        <v/>
      </c>
      <c r="L11" s="179">
        <v>0</v>
      </c>
      <c r="M11" s="207">
        <v>0.5</v>
      </c>
      <c r="N11" s="116">
        <f t="shared" si="22"/>
        <v>0</v>
      </c>
      <c r="O11" s="179">
        <v>0</v>
      </c>
      <c r="P11" s="70">
        <f t="shared" si="6"/>
        <v>0</v>
      </c>
      <c r="Q11" s="59">
        <f t="shared" si="7"/>
        <v>0</v>
      </c>
      <c r="R11" s="55" t="str">
        <f t="shared" si="21"/>
        <v/>
      </c>
      <c r="S11" s="217">
        <v>0</v>
      </c>
      <c r="T11" s="215">
        <v>0.75</v>
      </c>
      <c r="U11" s="248">
        <f t="shared" si="19"/>
        <v>0</v>
      </c>
      <c r="V11" s="248">
        <v>0</v>
      </c>
      <c r="W11" s="248">
        <f t="shared" si="8"/>
        <v>0</v>
      </c>
      <c r="X11" s="59">
        <f t="shared" si="23"/>
        <v>0</v>
      </c>
      <c r="Y11" s="249" t="str">
        <f t="shared" si="24"/>
        <v>Se ha avanzado muy poco o nada en este indicador</v>
      </c>
      <c r="Z11" s="70"/>
      <c r="AA11" s="70"/>
      <c r="AB11" s="70">
        <f t="shared" si="11"/>
        <v>0</v>
      </c>
      <c r="AC11" s="59" t="str">
        <f t="shared" si="12"/>
        <v/>
      </c>
      <c r="AD11" s="55" t="str">
        <f t="shared" si="13"/>
        <v/>
      </c>
      <c r="AH11" s="79">
        <f t="shared" si="14"/>
        <v>0</v>
      </c>
      <c r="AI11" s="79">
        <f t="shared" si="15"/>
        <v>0</v>
      </c>
      <c r="AJ11" s="79">
        <f t="shared" si="16"/>
        <v>0</v>
      </c>
      <c r="AK11" s="79">
        <f t="shared" si="17"/>
        <v>0</v>
      </c>
    </row>
    <row r="12" spans="1:40" ht="15" customHeight="1" x14ac:dyDescent="0.25">
      <c r="A12" s="91" t="s">
        <v>184</v>
      </c>
      <c r="B12" s="91" t="s">
        <v>182</v>
      </c>
      <c r="C12" s="92" t="s">
        <v>189</v>
      </c>
      <c r="D12" s="93" t="s">
        <v>267</v>
      </c>
      <c r="E12" s="116">
        <v>0</v>
      </c>
      <c r="F12" s="207">
        <v>0.25</v>
      </c>
      <c r="G12" s="116">
        <f t="shared" si="4"/>
        <v>0</v>
      </c>
      <c r="H12" s="117">
        <v>0</v>
      </c>
      <c r="I12" s="67">
        <f t="shared" si="5"/>
        <v>0</v>
      </c>
      <c r="J12" s="68">
        <f t="shared" si="0"/>
        <v>0</v>
      </c>
      <c r="K12" s="55" t="str">
        <f t="shared" si="20"/>
        <v/>
      </c>
      <c r="L12" s="179">
        <v>0</v>
      </c>
      <c r="M12" s="207">
        <v>0.5</v>
      </c>
      <c r="N12" s="116">
        <f t="shared" si="22"/>
        <v>0</v>
      </c>
      <c r="O12" s="179">
        <v>0</v>
      </c>
      <c r="P12" s="70">
        <f t="shared" si="6"/>
        <v>0</v>
      </c>
      <c r="Q12" s="59">
        <f t="shared" si="7"/>
        <v>0</v>
      </c>
      <c r="R12" s="55" t="str">
        <f t="shared" si="21"/>
        <v/>
      </c>
      <c r="S12" s="217">
        <v>0</v>
      </c>
      <c r="T12" s="215">
        <v>0.75</v>
      </c>
      <c r="U12" s="248">
        <f t="shared" si="19"/>
        <v>0</v>
      </c>
      <c r="V12" s="248">
        <v>0</v>
      </c>
      <c r="W12" s="248">
        <f t="shared" si="8"/>
        <v>0</v>
      </c>
      <c r="X12" s="59">
        <f t="shared" si="23"/>
        <v>0</v>
      </c>
      <c r="Y12" s="249" t="str">
        <f t="shared" si="24"/>
        <v>Se ha avanzado muy poco o nada en este indicador</v>
      </c>
      <c r="Z12" s="70"/>
      <c r="AA12" s="70"/>
      <c r="AB12" s="70">
        <f t="shared" si="11"/>
        <v>0</v>
      </c>
      <c r="AC12" s="59" t="str">
        <f t="shared" si="12"/>
        <v/>
      </c>
      <c r="AD12" s="55" t="str">
        <f t="shared" si="13"/>
        <v/>
      </c>
      <c r="AH12" s="79">
        <f t="shared" si="14"/>
        <v>0</v>
      </c>
      <c r="AI12" s="79">
        <f t="shared" si="15"/>
        <v>0</v>
      </c>
      <c r="AJ12" s="79">
        <f t="shared" si="16"/>
        <v>0</v>
      </c>
      <c r="AK12" s="79">
        <f t="shared" si="17"/>
        <v>0</v>
      </c>
    </row>
    <row r="13" spans="1:40" ht="45" x14ac:dyDescent="0.25">
      <c r="A13" s="91" t="s">
        <v>214</v>
      </c>
      <c r="B13" s="91" t="s">
        <v>215</v>
      </c>
      <c r="C13" s="92" t="s">
        <v>220</v>
      </c>
      <c r="D13" s="93" t="s">
        <v>267</v>
      </c>
      <c r="E13" s="116">
        <v>119000000</v>
      </c>
      <c r="F13" s="207">
        <v>0.25</v>
      </c>
      <c r="G13" s="117">
        <v>59556160</v>
      </c>
      <c r="H13" s="117">
        <v>59556160</v>
      </c>
      <c r="I13" s="67">
        <f t="shared" si="5"/>
        <v>0</v>
      </c>
      <c r="J13" s="68">
        <f t="shared" si="0"/>
        <v>1</v>
      </c>
      <c r="K13" s="55" t="str">
        <f t="shared" si="20"/>
        <v>Nivel del indicador que satisface y supera las expectativas</v>
      </c>
      <c r="L13" s="179">
        <v>119000000</v>
      </c>
      <c r="M13" s="207">
        <v>0.5</v>
      </c>
      <c r="N13" s="179">
        <v>61745944</v>
      </c>
      <c r="O13" s="179">
        <v>61745944</v>
      </c>
      <c r="P13" s="70">
        <f t="shared" si="6"/>
        <v>0</v>
      </c>
      <c r="Q13" s="59">
        <f t="shared" si="7"/>
        <v>1</v>
      </c>
      <c r="R13" s="55" t="str">
        <f t="shared" si="21"/>
        <v>Nivel del indicador que satisface y supera las expectativas</v>
      </c>
      <c r="S13" s="217">
        <v>119000000</v>
      </c>
      <c r="T13" s="215">
        <v>0.75</v>
      </c>
      <c r="U13" s="248">
        <v>96181617</v>
      </c>
      <c r="V13" s="248">
        <v>96181617</v>
      </c>
      <c r="W13" s="248">
        <f t="shared" si="8"/>
        <v>0</v>
      </c>
      <c r="X13" s="59">
        <f t="shared" si="23"/>
        <v>1</v>
      </c>
      <c r="Y13" s="249" t="str">
        <f t="shared" si="24"/>
        <v>Nivel del indicador que satisface y supera las expectativas</v>
      </c>
      <c r="Z13" s="70"/>
      <c r="AA13" s="70"/>
      <c r="AB13" s="70">
        <f t="shared" si="11"/>
        <v>0</v>
      </c>
      <c r="AC13" s="59" t="str">
        <f t="shared" si="12"/>
        <v/>
      </c>
      <c r="AD13" s="55" t="str">
        <f t="shared" si="13"/>
        <v/>
      </c>
      <c r="AH13" s="79">
        <f t="shared" si="14"/>
        <v>0.5004719327731092</v>
      </c>
      <c r="AI13" s="79">
        <f t="shared" si="15"/>
        <v>0.51887347899159664</v>
      </c>
      <c r="AJ13" s="79">
        <f t="shared" si="16"/>
        <v>0.80824888235294112</v>
      </c>
      <c r="AK13" s="79">
        <f t="shared" si="17"/>
        <v>0</v>
      </c>
    </row>
    <row r="14" spans="1:40" ht="32.25" customHeight="1" x14ac:dyDescent="0.25">
      <c r="A14" s="91" t="s">
        <v>214</v>
      </c>
      <c r="B14" s="91" t="s">
        <v>216</v>
      </c>
      <c r="C14" s="92" t="s">
        <v>221</v>
      </c>
      <c r="D14" s="93" t="s">
        <v>269</v>
      </c>
      <c r="E14" s="116">
        <v>347665509</v>
      </c>
      <c r="F14" s="207">
        <v>0.25</v>
      </c>
      <c r="G14" s="116">
        <f t="shared" si="4"/>
        <v>86916377.25</v>
      </c>
      <c r="H14" s="117">
        <v>40621649</v>
      </c>
      <c r="I14" s="67">
        <f t="shared" si="5"/>
        <v>46294728.25</v>
      </c>
      <c r="J14" s="68">
        <f t="shared" si="0"/>
        <v>0.46736472785973143</v>
      </c>
      <c r="K14" s="55" t="str">
        <f t="shared" si="20"/>
        <v>Nivel del indicador que satisface y supera las expectativas</v>
      </c>
      <c r="L14" s="179">
        <v>362665509</v>
      </c>
      <c r="M14" s="207">
        <v>0.5</v>
      </c>
      <c r="N14" s="116">
        <f t="shared" si="22"/>
        <v>181332754.5</v>
      </c>
      <c r="O14" s="179">
        <v>127222971</v>
      </c>
      <c r="P14" s="70">
        <f t="shared" si="6"/>
        <v>54109783.5</v>
      </c>
      <c r="Q14" s="59">
        <f t="shared" si="7"/>
        <v>0.70159950611680588</v>
      </c>
      <c r="R14" s="55" t="str">
        <f t="shared" si="21"/>
        <v>Nivel del indicador que satisface y supera las expectativas</v>
      </c>
      <c r="S14" s="217">
        <v>337665509</v>
      </c>
      <c r="T14" s="215">
        <v>0.75</v>
      </c>
      <c r="U14" s="248">
        <f t="shared" si="19"/>
        <v>253249131.75</v>
      </c>
      <c r="V14" s="248">
        <v>222554521</v>
      </c>
      <c r="W14" s="248">
        <f t="shared" si="8"/>
        <v>30694610.75</v>
      </c>
      <c r="X14" s="59">
        <f t="shared" si="23"/>
        <v>0.87879677794788724</v>
      </c>
      <c r="Y14" s="249" t="str">
        <f t="shared" si="24"/>
        <v>Nivel del indicador que satisface y supera las expectativas</v>
      </c>
      <c r="Z14" s="70"/>
      <c r="AA14" s="70"/>
      <c r="AB14" s="70">
        <f t="shared" si="11"/>
        <v>0</v>
      </c>
      <c r="AC14" s="59" t="str">
        <f t="shared" si="12"/>
        <v/>
      </c>
      <c r="AD14" s="55" t="str">
        <f t="shared" si="13"/>
        <v/>
      </c>
      <c r="AH14" s="79">
        <f t="shared" si="14"/>
        <v>0.11684118196493286</v>
      </c>
      <c r="AI14" s="79">
        <f t="shared" si="15"/>
        <v>0.35079975305840294</v>
      </c>
      <c r="AJ14" s="79">
        <f t="shared" si="16"/>
        <v>0.6590975834609154</v>
      </c>
      <c r="AK14" s="79">
        <f t="shared" si="17"/>
        <v>0</v>
      </c>
    </row>
    <row r="15" spans="1:40" ht="34.5" customHeight="1" x14ac:dyDescent="0.25">
      <c r="A15" s="91" t="s">
        <v>214</v>
      </c>
      <c r="B15" s="91" t="s">
        <v>217</v>
      </c>
      <c r="C15" s="92" t="s">
        <v>222</v>
      </c>
      <c r="D15" s="93" t="s">
        <v>267</v>
      </c>
      <c r="E15" s="116">
        <v>30000000</v>
      </c>
      <c r="F15" s="207">
        <v>0.25</v>
      </c>
      <c r="G15" s="116">
        <v>21600000</v>
      </c>
      <c r="H15" s="116">
        <v>21600000</v>
      </c>
      <c r="I15" s="67">
        <f t="shared" si="5"/>
        <v>0</v>
      </c>
      <c r="J15" s="68">
        <f t="shared" si="0"/>
        <v>1</v>
      </c>
      <c r="K15" s="55" t="str">
        <f t="shared" si="20"/>
        <v>Nivel del indicador que satisface y supera las expectativas</v>
      </c>
      <c r="L15" s="179">
        <v>30000000</v>
      </c>
      <c r="M15" s="207">
        <v>0.5</v>
      </c>
      <c r="N15" s="179">
        <v>21600000</v>
      </c>
      <c r="O15" s="179">
        <v>21600000</v>
      </c>
      <c r="P15" s="70">
        <f t="shared" si="6"/>
        <v>0</v>
      </c>
      <c r="Q15" s="59">
        <f t="shared" si="7"/>
        <v>1</v>
      </c>
      <c r="R15" s="55" t="str">
        <f t="shared" si="21"/>
        <v>Nivel del indicador que satisface y supera las expectativas</v>
      </c>
      <c r="S15" s="217">
        <v>45000000</v>
      </c>
      <c r="T15" s="215">
        <v>0.75</v>
      </c>
      <c r="U15" s="248">
        <v>44065000</v>
      </c>
      <c r="V15" s="248">
        <v>44065000</v>
      </c>
      <c r="W15" s="248">
        <f t="shared" si="8"/>
        <v>0</v>
      </c>
      <c r="X15" s="59">
        <f t="shared" si="23"/>
        <v>1</v>
      </c>
      <c r="Y15" s="249" t="str">
        <f t="shared" si="24"/>
        <v>Nivel del indicador que satisface y supera las expectativas</v>
      </c>
      <c r="Z15" s="70"/>
      <c r="AA15" s="70"/>
      <c r="AB15" s="70">
        <f t="shared" si="11"/>
        <v>0</v>
      </c>
      <c r="AC15" s="59" t="str">
        <f t="shared" si="12"/>
        <v/>
      </c>
      <c r="AD15" s="55" t="str">
        <f t="shared" si="13"/>
        <v/>
      </c>
      <c r="AH15" s="79">
        <f t="shared" si="14"/>
        <v>0.72</v>
      </c>
      <c r="AI15" s="79">
        <f t="shared" si="15"/>
        <v>0.72</v>
      </c>
      <c r="AJ15" s="79">
        <f t="shared" si="16"/>
        <v>0.97922222222222222</v>
      </c>
      <c r="AK15" s="79">
        <f t="shared" si="17"/>
        <v>0</v>
      </c>
    </row>
    <row r="16" spans="1:40" ht="37.5" customHeight="1" x14ac:dyDescent="0.25">
      <c r="A16" s="91" t="s">
        <v>214</v>
      </c>
      <c r="B16" s="91" t="s">
        <v>218</v>
      </c>
      <c r="C16" s="92" t="s">
        <v>223</v>
      </c>
      <c r="D16" s="93" t="s">
        <v>267</v>
      </c>
      <c r="E16" s="116">
        <v>27000000</v>
      </c>
      <c r="F16" s="207">
        <v>0.25</v>
      </c>
      <c r="G16" s="116">
        <f t="shared" si="4"/>
        <v>6750000</v>
      </c>
      <c r="H16" s="117">
        <v>0.1</v>
      </c>
      <c r="I16" s="67">
        <f t="shared" si="5"/>
        <v>6749999.9000000004</v>
      </c>
      <c r="J16" s="68">
        <f t="shared" si="0"/>
        <v>1.4814814814814816E-8</v>
      </c>
      <c r="K16" s="55" t="str">
        <f t="shared" si="20"/>
        <v>Se ha avanzado muy poco o nada en este indicador</v>
      </c>
      <c r="L16" s="179">
        <v>45000000</v>
      </c>
      <c r="M16" s="207">
        <v>0.5</v>
      </c>
      <c r="N16" s="116">
        <v>5600000</v>
      </c>
      <c r="O16" s="179">
        <v>3500000</v>
      </c>
      <c r="P16" s="70">
        <f t="shared" si="6"/>
        <v>2100000</v>
      </c>
      <c r="Q16" s="59">
        <f t="shared" si="7"/>
        <v>0.625</v>
      </c>
      <c r="R16" s="55" t="str">
        <f t="shared" si="21"/>
        <v>Nivel del indicador que satisface y supera las expectativas</v>
      </c>
      <c r="S16" s="217">
        <v>45000000</v>
      </c>
      <c r="T16" s="215">
        <v>0.75</v>
      </c>
      <c r="U16" s="250">
        <f>+S16*T16</f>
        <v>33750000</v>
      </c>
      <c r="V16" s="248">
        <v>3500000</v>
      </c>
      <c r="W16" s="248">
        <f t="shared" si="8"/>
        <v>30250000</v>
      </c>
      <c r="X16" s="59">
        <f t="shared" si="23"/>
        <v>0.1037037037037037</v>
      </c>
      <c r="Y16" s="249" t="str">
        <f t="shared" si="24"/>
        <v>Se ha avanzado muy poco o nada en este indicador</v>
      </c>
      <c r="Z16" s="70"/>
      <c r="AA16" s="70"/>
      <c r="AB16" s="70">
        <f t="shared" si="11"/>
        <v>0</v>
      </c>
      <c r="AC16" s="59" t="str">
        <f t="shared" si="12"/>
        <v/>
      </c>
      <c r="AD16" s="55" t="str">
        <f t="shared" si="13"/>
        <v/>
      </c>
      <c r="AH16" s="79">
        <f t="shared" si="14"/>
        <v>3.703703703703704E-9</v>
      </c>
      <c r="AI16" s="79">
        <f t="shared" si="15"/>
        <v>7.7777777777777779E-2</v>
      </c>
      <c r="AJ16" s="79">
        <f t="shared" si="16"/>
        <v>7.7777777777777779E-2</v>
      </c>
      <c r="AK16" s="79">
        <f t="shared" si="17"/>
        <v>0</v>
      </c>
    </row>
    <row r="17" spans="1:37" ht="30" x14ac:dyDescent="0.25">
      <c r="A17" s="91" t="s">
        <v>214</v>
      </c>
      <c r="B17" s="91" t="s">
        <v>219</v>
      </c>
      <c r="C17" s="92" t="s">
        <v>224</v>
      </c>
      <c r="D17" s="93" t="s">
        <v>267</v>
      </c>
      <c r="E17" s="116">
        <v>4000000</v>
      </c>
      <c r="F17" s="207">
        <v>0.25</v>
      </c>
      <c r="G17" s="116">
        <f t="shared" si="4"/>
        <v>1000000</v>
      </c>
      <c r="H17" s="117">
        <v>0.1</v>
      </c>
      <c r="I17" s="67">
        <f t="shared" si="5"/>
        <v>999999.9</v>
      </c>
      <c r="J17" s="68">
        <f t="shared" si="0"/>
        <v>1.0000000000000001E-7</v>
      </c>
      <c r="K17" s="55" t="str">
        <f t="shared" si="20"/>
        <v>Se ha avanzado muy poco o nada en este indicador</v>
      </c>
      <c r="L17" s="179">
        <v>4000000</v>
      </c>
      <c r="M17" s="207">
        <v>0.5</v>
      </c>
      <c r="N17" s="116">
        <f t="shared" si="22"/>
        <v>2000000</v>
      </c>
      <c r="O17" s="179">
        <v>0.1</v>
      </c>
      <c r="P17" s="70">
        <f t="shared" si="6"/>
        <v>1999999.9</v>
      </c>
      <c r="Q17" s="59">
        <f t="shared" si="7"/>
        <v>5.0000000000000004E-8</v>
      </c>
      <c r="R17" s="55" t="str">
        <f t="shared" si="21"/>
        <v>Se ha avanzado muy poco o nada en este indicador</v>
      </c>
      <c r="S17" s="217">
        <v>4000000</v>
      </c>
      <c r="T17" s="215">
        <v>0.75</v>
      </c>
      <c r="U17" s="248">
        <f t="shared" si="19"/>
        <v>3000000</v>
      </c>
      <c r="V17" s="248">
        <v>0</v>
      </c>
      <c r="W17" s="248">
        <f t="shared" si="8"/>
        <v>3000000</v>
      </c>
      <c r="X17" s="59">
        <f t="shared" si="23"/>
        <v>0</v>
      </c>
      <c r="Y17" s="249" t="str">
        <f t="shared" si="24"/>
        <v>Se ha avanzado muy poco o nada en este indicador</v>
      </c>
      <c r="Z17" s="70"/>
      <c r="AA17" s="70"/>
      <c r="AB17" s="70">
        <f t="shared" si="11"/>
        <v>0</v>
      </c>
      <c r="AC17" s="59" t="str">
        <f t="shared" si="12"/>
        <v/>
      </c>
      <c r="AD17" s="55" t="str">
        <f t="shared" si="13"/>
        <v/>
      </c>
      <c r="AH17" s="79">
        <f t="shared" si="14"/>
        <v>2.5000000000000002E-8</v>
      </c>
      <c r="AI17" s="79">
        <f t="shared" si="15"/>
        <v>2.5000000000000002E-8</v>
      </c>
      <c r="AJ17" s="79">
        <f t="shared" si="16"/>
        <v>0</v>
      </c>
      <c r="AK17" s="79">
        <f t="shared" si="17"/>
        <v>0</v>
      </c>
    </row>
    <row r="18" spans="1:37" ht="75" x14ac:dyDescent="0.25">
      <c r="A18" s="91" t="s">
        <v>225</v>
      </c>
      <c r="B18" s="91" t="s">
        <v>226</v>
      </c>
      <c r="C18" s="92" t="s">
        <v>245</v>
      </c>
      <c r="D18" s="93" t="s">
        <v>270</v>
      </c>
      <c r="E18" s="116">
        <v>206600000</v>
      </c>
      <c r="F18" s="207">
        <v>0.25</v>
      </c>
      <c r="G18" s="117">
        <v>151235847</v>
      </c>
      <c r="H18" s="117">
        <v>151235847</v>
      </c>
      <c r="I18" s="67">
        <f t="shared" si="5"/>
        <v>0</v>
      </c>
      <c r="J18" s="68">
        <f t="shared" si="0"/>
        <v>1</v>
      </c>
      <c r="K18" s="55" t="str">
        <f t="shared" si="1"/>
        <v>Nivel del indicador que satisface y supera las expectativas</v>
      </c>
      <c r="L18" s="179">
        <v>252352478</v>
      </c>
      <c r="M18" s="207">
        <v>0.5</v>
      </c>
      <c r="N18" s="179">
        <v>154471993</v>
      </c>
      <c r="O18" s="179">
        <v>154471993</v>
      </c>
      <c r="P18" s="70">
        <f t="shared" si="6"/>
        <v>0</v>
      </c>
      <c r="Q18" s="59">
        <f t="shared" si="7"/>
        <v>1</v>
      </c>
      <c r="R18" s="55" t="str">
        <f t="shared" si="21"/>
        <v>Nivel del indicador que satisface y supera las expectativas</v>
      </c>
      <c r="S18" s="217">
        <v>257557418</v>
      </c>
      <c r="T18" s="215">
        <v>0.75</v>
      </c>
      <c r="U18" s="248">
        <v>212308194</v>
      </c>
      <c r="V18" s="248">
        <v>212308194</v>
      </c>
      <c r="W18" s="248">
        <f t="shared" si="8"/>
        <v>0</v>
      </c>
      <c r="X18" s="59">
        <f t="shared" si="23"/>
        <v>1</v>
      </c>
      <c r="Y18" s="249" t="str">
        <f t="shared" si="24"/>
        <v>Nivel del indicador que satisface y supera las expectativas</v>
      </c>
      <c r="Z18" s="70"/>
      <c r="AA18" s="70"/>
      <c r="AB18" s="70">
        <f t="shared" si="11"/>
        <v>0</v>
      </c>
      <c r="AC18" s="59" t="str">
        <f t="shared" si="12"/>
        <v/>
      </c>
      <c r="AD18" s="55" t="str">
        <f t="shared" si="13"/>
        <v/>
      </c>
      <c r="AH18" s="79">
        <f t="shared" si="14"/>
        <v>0.73202249273959341</v>
      </c>
      <c r="AI18" s="79">
        <f t="shared" si="15"/>
        <v>0.61212790230655079</v>
      </c>
      <c r="AJ18" s="79">
        <f t="shared" si="16"/>
        <v>0.82431403315279395</v>
      </c>
      <c r="AK18" s="79">
        <f t="shared" si="17"/>
        <v>0</v>
      </c>
    </row>
    <row r="19" spans="1:37" ht="45" x14ac:dyDescent="0.25">
      <c r="A19" s="91" t="s">
        <v>225</v>
      </c>
      <c r="B19" s="91" t="s">
        <v>227</v>
      </c>
      <c r="C19" s="92" t="s">
        <v>246</v>
      </c>
      <c r="D19" s="93" t="s">
        <v>267</v>
      </c>
      <c r="E19" s="116">
        <v>85063342</v>
      </c>
      <c r="F19" s="207">
        <v>0.25</v>
      </c>
      <c r="G19" s="116">
        <f t="shared" si="4"/>
        <v>21265835.5</v>
      </c>
      <c r="H19" s="117">
        <v>18970650</v>
      </c>
      <c r="I19" s="67">
        <f t="shared" si="5"/>
        <v>2295185.5</v>
      </c>
      <c r="J19" s="68">
        <f t="shared" si="0"/>
        <v>0.8920716987583206</v>
      </c>
      <c r="K19" s="55" t="str">
        <f t="shared" ref="K19:K26" si="25">IF(AND(E19&gt;0,H19=""),"¡¡Ojo No se Ejecuto Presupuesto!!",IF(J19=0%,"",IF(J19&lt;9%,"Se ha avanzado muy poco o nada en este indicador",IF(J19&lt;=20%,"Nivel Aceptable del Indicador",IF(J19&lt;=25%,"Nivel del indicador que cumple las expectativas","Nivel del indicador que satisface y supera las expectativas")))))</f>
        <v>Nivel del indicador que satisface y supera las expectativas</v>
      </c>
      <c r="L19" s="179">
        <v>85063342</v>
      </c>
      <c r="M19" s="207">
        <v>0.5</v>
      </c>
      <c r="N19" s="116">
        <f t="shared" si="22"/>
        <v>42531671</v>
      </c>
      <c r="O19" s="179">
        <v>38894170</v>
      </c>
      <c r="P19" s="70">
        <f t="shared" si="6"/>
        <v>3637501</v>
      </c>
      <c r="Q19" s="59">
        <f t="shared" si="7"/>
        <v>0.91447547405320617</v>
      </c>
      <c r="R19" s="55" t="str">
        <f t="shared" ref="R19:R31" si="26">IF(AND(L19&gt;0,O19=""),"¡¡Ojo No se Ejecuto Presupuesto!!",IF(Q19=0%,"",IF(Q19&lt;16%,"Se ha avanzado muy poco o nada en este indicador",IF(Q19&lt;=37%,"Nivel Aceptable del Indicador",IF(Q19&lt;=50%,"Nivel del indicador que cumple las expectativas","Nivel del indicador que satisface y supera las expectativas")))))</f>
        <v>Nivel del indicador que satisface y supera las expectativas</v>
      </c>
      <c r="S19" s="217">
        <v>95063342</v>
      </c>
      <c r="T19" s="215">
        <v>0.75</v>
      </c>
      <c r="U19" s="248">
        <f t="shared" si="19"/>
        <v>71297506.5</v>
      </c>
      <c r="V19" s="248">
        <v>60839961</v>
      </c>
      <c r="W19" s="248">
        <f t="shared" si="8"/>
        <v>10457545.5</v>
      </c>
      <c r="X19" s="59">
        <f t="shared" si="23"/>
        <v>0.85332522814104306</v>
      </c>
      <c r="Y19" s="249" t="str">
        <f t="shared" si="24"/>
        <v>Nivel del indicador que satisface y supera las expectativas</v>
      </c>
      <c r="Z19" s="70"/>
      <c r="AA19" s="70"/>
      <c r="AB19" s="70">
        <f t="shared" si="11"/>
        <v>0</v>
      </c>
      <c r="AC19" s="59" t="str">
        <f t="shared" si="12"/>
        <v/>
      </c>
      <c r="AD19" s="55" t="str">
        <f t="shared" si="13"/>
        <v/>
      </c>
      <c r="AH19" s="79">
        <f t="shared" si="14"/>
        <v>0.22301792468958015</v>
      </c>
      <c r="AI19" s="79">
        <f t="shared" si="15"/>
        <v>0.45723773702660309</v>
      </c>
      <c r="AJ19" s="79">
        <f t="shared" si="16"/>
        <v>0.63999392110578224</v>
      </c>
      <c r="AK19" s="79">
        <f t="shared" si="17"/>
        <v>0</v>
      </c>
    </row>
    <row r="20" spans="1:37" ht="45" x14ac:dyDescent="0.25">
      <c r="A20" s="91" t="s">
        <v>225</v>
      </c>
      <c r="B20" s="91" t="s">
        <v>228</v>
      </c>
      <c r="C20" s="92" t="s">
        <v>247</v>
      </c>
      <c r="D20" s="93" t="s">
        <v>267</v>
      </c>
      <c r="E20" s="116">
        <v>69639749</v>
      </c>
      <c r="F20" s="207">
        <v>0.25</v>
      </c>
      <c r="G20" s="117">
        <v>25141612</v>
      </c>
      <c r="H20" s="117">
        <v>25141612</v>
      </c>
      <c r="I20" s="67">
        <f t="shared" si="5"/>
        <v>0</v>
      </c>
      <c r="J20" s="68">
        <f t="shared" si="0"/>
        <v>1</v>
      </c>
      <c r="K20" s="55" t="str">
        <f t="shared" si="25"/>
        <v>Nivel del indicador que satisface y supera las expectativas</v>
      </c>
      <c r="L20" s="179">
        <v>69639749</v>
      </c>
      <c r="M20" s="207">
        <v>0.5</v>
      </c>
      <c r="N20" s="179">
        <v>63684718</v>
      </c>
      <c r="O20" s="179">
        <v>63684718</v>
      </c>
      <c r="P20" s="70">
        <f t="shared" si="6"/>
        <v>0</v>
      </c>
      <c r="Q20" s="59">
        <f t="shared" si="7"/>
        <v>1</v>
      </c>
      <c r="R20" s="55" t="str">
        <f t="shared" si="26"/>
        <v>Nivel del indicador que satisface y supera las expectativas</v>
      </c>
      <c r="S20" s="217">
        <v>78488749</v>
      </c>
      <c r="T20" s="215">
        <v>0.75</v>
      </c>
      <c r="U20" s="248">
        <v>69089278</v>
      </c>
      <c r="V20" s="248">
        <v>69089278</v>
      </c>
      <c r="W20" s="248">
        <f t="shared" si="8"/>
        <v>0</v>
      </c>
      <c r="X20" s="59">
        <f t="shared" si="23"/>
        <v>1</v>
      </c>
      <c r="Y20" s="249" t="str">
        <f t="shared" si="24"/>
        <v>Nivel del indicador que satisface y supera las expectativas</v>
      </c>
      <c r="Z20" s="70"/>
      <c r="AA20" s="70"/>
      <c r="AB20" s="70">
        <f t="shared" si="11"/>
        <v>0</v>
      </c>
      <c r="AC20" s="59" t="str">
        <f t="shared" si="12"/>
        <v/>
      </c>
      <c r="AD20" s="55" t="str">
        <f t="shared" si="13"/>
        <v/>
      </c>
      <c r="AH20" s="79">
        <f t="shared" si="14"/>
        <v>0.36102387445422873</v>
      </c>
      <c r="AI20" s="79">
        <f t="shared" si="15"/>
        <v>0.9144880461875301</v>
      </c>
      <c r="AJ20" s="79">
        <f t="shared" si="16"/>
        <v>0.88024435196438156</v>
      </c>
      <c r="AK20" s="79">
        <f t="shared" si="17"/>
        <v>0</v>
      </c>
    </row>
    <row r="21" spans="1:37" ht="45" x14ac:dyDescent="0.25">
      <c r="A21" s="91" t="s">
        <v>225</v>
      </c>
      <c r="B21" s="91" t="s">
        <v>229</v>
      </c>
      <c r="C21" s="92" t="s">
        <v>248</v>
      </c>
      <c r="D21" s="93" t="s">
        <v>267</v>
      </c>
      <c r="E21" s="116">
        <v>101134948</v>
      </c>
      <c r="F21" s="207">
        <v>0.25</v>
      </c>
      <c r="G21" s="117">
        <v>42687012</v>
      </c>
      <c r="H21" s="117">
        <v>42687012</v>
      </c>
      <c r="I21" s="67">
        <f t="shared" si="5"/>
        <v>0</v>
      </c>
      <c r="J21" s="68">
        <f t="shared" si="0"/>
        <v>1</v>
      </c>
      <c r="K21" s="55" t="str">
        <f t="shared" si="25"/>
        <v>Nivel del indicador que satisface y supera las expectativas</v>
      </c>
      <c r="L21" s="179">
        <v>101134948</v>
      </c>
      <c r="M21" s="207">
        <v>0.5</v>
      </c>
      <c r="N21" s="116">
        <f t="shared" si="22"/>
        <v>50567474</v>
      </c>
      <c r="O21" s="179">
        <v>43193134</v>
      </c>
      <c r="P21" s="70">
        <f t="shared" si="6"/>
        <v>7374340</v>
      </c>
      <c r="Q21" s="59">
        <f t="shared" si="7"/>
        <v>0.85416831380582703</v>
      </c>
      <c r="R21" s="55" t="str">
        <f t="shared" si="26"/>
        <v>Nivel del indicador que satisface y supera las expectativas</v>
      </c>
      <c r="S21" s="217">
        <v>101134948</v>
      </c>
      <c r="T21" s="215">
        <v>0.75</v>
      </c>
      <c r="U21" s="248">
        <v>81497724</v>
      </c>
      <c r="V21" s="248">
        <v>81497724</v>
      </c>
      <c r="W21" s="248">
        <f t="shared" si="8"/>
        <v>0</v>
      </c>
      <c r="X21" s="59">
        <f t="shared" si="23"/>
        <v>1</v>
      </c>
      <c r="Y21" s="249" t="str">
        <f t="shared" si="24"/>
        <v>Nivel del indicador que satisface y supera las expectativas</v>
      </c>
      <c r="Z21" s="70"/>
      <c r="AA21" s="70"/>
      <c r="AB21" s="70">
        <f t="shared" si="11"/>
        <v>0</v>
      </c>
      <c r="AC21" s="59" t="str">
        <f t="shared" si="12"/>
        <v/>
      </c>
      <c r="AD21" s="55" t="str">
        <f t="shared" si="13"/>
        <v/>
      </c>
      <c r="AH21" s="79">
        <f t="shared" si="14"/>
        <v>0.42207973449494429</v>
      </c>
      <c r="AI21" s="79">
        <f t="shared" si="15"/>
        <v>0.42708415690291351</v>
      </c>
      <c r="AJ21" s="79">
        <f t="shared" si="16"/>
        <v>0.80583147182712744</v>
      </c>
      <c r="AK21" s="79">
        <f t="shared" si="17"/>
        <v>0</v>
      </c>
    </row>
    <row r="22" spans="1:37" ht="45" x14ac:dyDescent="0.25">
      <c r="A22" s="91" t="s">
        <v>225</v>
      </c>
      <c r="B22" s="91" t="s">
        <v>230</v>
      </c>
      <c r="C22" s="92" t="s">
        <v>249</v>
      </c>
      <c r="D22" s="93" t="s">
        <v>267</v>
      </c>
      <c r="E22" s="116">
        <v>20850051</v>
      </c>
      <c r="F22" s="207">
        <v>0.25</v>
      </c>
      <c r="G22" s="116">
        <f t="shared" si="4"/>
        <v>5212512.75</v>
      </c>
      <c r="H22" s="117">
        <v>3237000</v>
      </c>
      <c r="I22" s="67">
        <f t="shared" si="5"/>
        <v>1975512.75</v>
      </c>
      <c r="J22" s="68">
        <f t="shared" si="0"/>
        <v>0.62100567523791672</v>
      </c>
      <c r="K22" s="55" t="str">
        <f t="shared" si="25"/>
        <v>Nivel del indicador que satisface y supera las expectativas</v>
      </c>
      <c r="L22" s="179">
        <v>20850051</v>
      </c>
      <c r="M22" s="207">
        <v>0.5</v>
      </c>
      <c r="N22" s="116">
        <f t="shared" si="22"/>
        <v>10425025.5</v>
      </c>
      <c r="O22" s="179">
        <v>5407000</v>
      </c>
      <c r="P22" s="70">
        <f t="shared" si="6"/>
        <v>5018025.5</v>
      </c>
      <c r="Q22" s="59">
        <f t="shared" si="7"/>
        <v>0.51865580568603886</v>
      </c>
      <c r="R22" s="55" t="str">
        <f t="shared" si="26"/>
        <v>Nivel del indicador que satisface y supera las expectativas</v>
      </c>
      <c r="S22" s="217">
        <v>20850051</v>
      </c>
      <c r="T22" s="215">
        <v>0.75</v>
      </c>
      <c r="U22" s="248">
        <f t="shared" si="19"/>
        <v>15637538.25</v>
      </c>
      <c r="V22" s="248">
        <v>12769000</v>
      </c>
      <c r="W22" s="248">
        <f t="shared" si="8"/>
        <v>2868538.25</v>
      </c>
      <c r="X22" s="59">
        <f t="shared" si="23"/>
        <v>0.81656075245731219</v>
      </c>
      <c r="Y22" s="249" t="str">
        <f t="shared" si="24"/>
        <v>Nivel del indicador que satisface y supera las expectativas</v>
      </c>
      <c r="Z22" s="70"/>
      <c r="AA22" s="70"/>
      <c r="AB22" s="70">
        <f t="shared" si="11"/>
        <v>0</v>
      </c>
      <c r="AC22" s="59" t="str">
        <f t="shared" si="12"/>
        <v/>
      </c>
      <c r="AD22" s="55" t="str">
        <f t="shared" si="13"/>
        <v/>
      </c>
      <c r="AH22" s="79">
        <f t="shared" si="14"/>
        <v>0.15525141880947918</v>
      </c>
      <c r="AI22" s="79">
        <f t="shared" si="15"/>
        <v>0.25932790284301943</v>
      </c>
      <c r="AJ22" s="79">
        <f t="shared" si="16"/>
        <v>0.61242056434298409</v>
      </c>
      <c r="AK22" s="79">
        <f t="shared" si="17"/>
        <v>0</v>
      </c>
    </row>
    <row r="23" spans="1:37" ht="45" x14ac:dyDescent="0.25">
      <c r="A23" s="91" t="s">
        <v>225</v>
      </c>
      <c r="B23" s="91" t="s">
        <v>231</v>
      </c>
      <c r="C23" s="92" t="s">
        <v>250</v>
      </c>
      <c r="D23" s="93" t="s">
        <v>267</v>
      </c>
      <c r="E23" s="116">
        <v>4000000</v>
      </c>
      <c r="F23" s="207">
        <v>0.25</v>
      </c>
      <c r="G23" s="116">
        <f t="shared" si="4"/>
        <v>1000000</v>
      </c>
      <c r="H23" s="117">
        <v>0.1</v>
      </c>
      <c r="I23" s="67">
        <f t="shared" si="5"/>
        <v>999999.9</v>
      </c>
      <c r="J23" s="68">
        <f t="shared" si="0"/>
        <v>1.0000000000000001E-7</v>
      </c>
      <c r="K23" s="55" t="str">
        <f t="shared" si="25"/>
        <v>Se ha avanzado muy poco o nada en este indicador</v>
      </c>
      <c r="L23" s="179">
        <v>4000000</v>
      </c>
      <c r="M23" s="207">
        <v>0.5</v>
      </c>
      <c r="N23" s="116">
        <f t="shared" si="22"/>
        <v>2000000</v>
      </c>
      <c r="O23" s="179">
        <v>0.1</v>
      </c>
      <c r="P23" s="70">
        <f t="shared" si="6"/>
        <v>1999999.9</v>
      </c>
      <c r="Q23" s="59">
        <f t="shared" si="7"/>
        <v>5.0000000000000004E-8</v>
      </c>
      <c r="R23" s="55" t="str">
        <f t="shared" si="26"/>
        <v>Se ha avanzado muy poco o nada en este indicador</v>
      </c>
      <c r="S23" s="217">
        <v>4000000</v>
      </c>
      <c r="T23" s="215">
        <v>0.75</v>
      </c>
      <c r="U23" s="248">
        <f t="shared" si="19"/>
        <v>3000000</v>
      </c>
      <c r="V23" s="248">
        <v>0</v>
      </c>
      <c r="W23" s="248">
        <f t="shared" si="8"/>
        <v>3000000</v>
      </c>
      <c r="X23" s="59">
        <f t="shared" si="23"/>
        <v>0</v>
      </c>
      <c r="Y23" s="249" t="str">
        <f t="shared" si="24"/>
        <v>Se ha avanzado muy poco o nada en este indicador</v>
      </c>
      <c r="Z23" s="70"/>
      <c r="AA23" s="70"/>
      <c r="AB23" s="70">
        <f t="shared" si="11"/>
        <v>0</v>
      </c>
      <c r="AC23" s="59" t="str">
        <f t="shared" si="12"/>
        <v/>
      </c>
      <c r="AD23" s="55" t="str">
        <f t="shared" si="13"/>
        <v/>
      </c>
      <c r="AH23" s="79">
        <f t="shared" si="14"/>
        <v>2.5000000000000002E-8</v>
      </c>
      <c r="AI23" s="79">
        <f t="shared" si="15"/>
        <v>2.5000000000000002E-8</v>
      </c>
      <c r="AJ23" s="79">
        <f t="shared" si="16"/>
        <v>0</v>
      </c>
      <c r="AK23" s="79">
        <f t="shared" si="17"/>
        <v>0</v>
      </c>
    </row>
    <row r="24" spans="1:37" ht="75" x14ac:dyDescent="0.25">
      <c r="A24" s="91" t="s">
        <v>225</v>
      </c>
      <c r="B24" s="91" t="s">
        <v>232</v>
      </c>
      <c r="C24" s="92" t="s">
        <v>251</v>
      </c>
      <c r="D24" s="93" t="s">
        <v>267</v>
      </c>
      <c r="E24" s="116">
        <v>9000000</v>
      </c>
      <c r="F24" s="207">
        <v>0.25</v>
      </c>
      <c r="G24" s="116">
        <f t="shared" si="4"/>
        <v>2250000</v>
      </c>
      <c r="H24" s="117">
        <v>0.1</v>
      </c>
      <c r="I24" s="67">
        <f t="shared" si="5"/>
        <v>2249999.9</v>
      </c>
      <c r="J24" s="68">
        <f t="shared" si="0"/>
        <v>4.4444444444444448E-8</v>
      </c>
      <c r="K24" s="55" t="str">
        <f t="shared" si="25"/>
        <v>Se ha avanzado muy poco o nada en este indicador</v>
      </c>
      <c r="L24" s="179">
        <v>9000000</v>
      </c>
      <c r="M24" s="207">
        <v>0.5</v>
      </c>
      <c r="N24" s="179">
        <v>7221330</v>
      </c>
      <c r="O24" s="179">
        <v>7221330</v>
      </c>
      <c r="P24" s="70">
        <f t="shared" si="6"/>
        <v>0</v>
      </c>
      <c r="Q24" s="59">
        <f t="shared" si="7"/>
        <v>1</v>
      </c>
      <c r="R24" s="55" t="str">
        <f t="shared" si="26"/>
        <v>Nivel del indicador que satisface y supera las expectativas</v>
      </c>
      <c r="S24" s="217">
        <v>9000000</v>
      </c>
      <c r="T24" s="215">
        <v>0.75</v>
      </c>
      <c r="U24" s="248">
        <v>7221330</v>
      </c>
      <c r="V24" s="248">
        <v>7221330</v>
      </c>
      <c r="W24" s="248">
        <f t="shared" si="8"/>
        <v>0</v>
      </c>
      <c r="X24" s="59">
        <f t="shared" si="23"/>
        <v>1</v>
      </c>
      <c r="Y24" s="249" t="str">
        <f t="shared" si="24"/>
        <v>Nivel del indicador que satisface y supera las expectativas</v>
      </c>
      <c r="Z24" s="70"/>
      <c r="AA24" s="70"/>
      <c r="AB24" s="70">
        <f t="shared" si="11"/>
        <v>0</v>
      </c>
      <c r="AC24" s="59" t="str">
        <f t="shared" si="12"/>
        <v/>
      </c>
      <c r="AD24" s="55" t="str">
        <f t="shared" si="13"/>
        <v/>
      </c>
      <c r="AH24" s="79">
        <f t="shared" si="14"/>
        <v>1.1111111111111112E-8</v>
      </c>
      <c r="AI24" s="79">
        <f t="shared" si="15"/>
        <v>0.80237000000000003</v>
      </c>
      <c r="AJ24" s="79">
        <f t="shared" si="16"/>
        <v>0.80237000000000003</v>
      </c>
      <c r="AK24" s="79">
        <f t="shared" si="17"/>
        <v>0</v>
      </c>
    </row>
    <row r="25" spans="1:37" ht="45" x14ac:dyDescent="0.25">
      <c r="A25" s="91" t="s">
        <v>225</v>
      </c>
      <c r="B25" s="91" t="s">
        <v>233</v>
      </c>
      <c r="C25" s="92" t="s">
        <v>252</v>
      </c>
      <c r="D25" s="93" t="s">
        <v>267</v>
      </c>
      <c r="E25" s="116">
        <v>10000000</v>
      </c>
      <c r="F25" s="207">
        <v>0.25</v>
      </c>
      <c r="G25" s="116">
        <f t="shared" si="4"/>
        <v>2500000</v>
      </c>
      <c r="H25" s="117">
        <v>0.1</v>
      </c>
      <c r="I25" s="67">
        <f t="shared" si="5"/>
        <v>2499999.9</v>
      </c>
      <c r="J25" s="68">
        <f t="shared" si="0"/>
        <v>4.0000000000000001E-8</v>
      </c>
      <c r="K25" s="55" t="str">
        <f t="shared" si="25"/>
        <v>Se ha avanzado muy poco o nada en este indicador</v>
      </c>
      <c r="L25" s="179">
        <v>10000000</v>
      </c>
      <c r="M25" s="207">
        <v>0.5</v>
      </c>
      <c r="N25" s="116">
        <f t="shared" si="22"/>
        <v>5000000</v>
      </c>
      <c r="O25" s="179">
        <v>0.1</v>
      </c>
      <c r="P25" s="70">
        <f t="shared" si="6"/>
        <v>4999999.9000000004</v>
      </c>
      <c r="Q25" s="59">
        <f t="shared" si="7"/>
        <v>2E-8</v>
      </c>
      <c r="R25" s="55" t="str">
        <f t="shared" si="26"/>
        <v>Se ha avanzado muy poco o nada en este indicador</v>
      </c>
      <c r="S25" s="217">
        <v>10000000</v>
      </c>
      <c r="T25" s="215">
        <v>0.75</v>
      </c>
      <c r="U25" s="248">
        <v>9515018</v>
      </c>
      <c r="V25" s="248">
        <v>9515018</v>
      </c>
      <c r="W25" s="248">
        <f t="shared" si="8"/>
        <v>0</v>
      </c>
      <c r="X25" s="59">
        <f t="shared" si="23"/>
        <v>1</v>
      </c>
      <c r="Y25" s="249" t="str">
        <f t="shared" si="24"/>
        <v>Nivel del indicador que satisface y supera las expectativas</v>
      </c>
      <c r="Z25" s="70"/>
      <c r="AA25" s="70"/>
      <c r="AB25" s="70">
        <f t="shared" si="11"/>
        <v>0</v>
      </c>
      <c r="AC25" s="59" t="str">
        <f t="shared" si="12"/>
        <v/>
      </c>
      <c r="AD25" s="55" t="str">
        <f t="shared" si="13"/>
        <v/>
      </c>
      <c r="AH25" s="79">
        <f t="shared" si="14"/>
        <v>1E-8</v>
      </c>
      <c r="AI25" s="79">
        <f t="shared" si="15"/>
        <v>1E-8</v>
      </c>
      <c r="AJ25" s="79">
        <f t="shared" si="16"/>
        <v>0.95150179999999995</v>
      </c>
      <c r="AK25" s="79">
        <f t="shared" si="17"/>
        <v>0</v>
      </c>
    </row>
    <row r="26" spans="1:37" ht="45" x14ac:dyDescent="0.25">
      <c r="A26" s="91" t="s">
        <v>225</v>
      </c>
      <c r="B26" s="91" t="s">
        <v>234</v>
      </c>
      <c r="C26" s="92" t="s">
        <v>253</v>
      </c>
      <c r="D26" s="93" t="s">
        <v>267</v>
      </c>
      <c r="E26" s="116">
        <v>20000000</v>
      </c>
      <c r="F26" s="207">
        <v>0.25</v>
      </c>
      <c r="G26" s="116">
        <f t="shared" si="4"/>
        <v>5000000</v>
      </c>
      <c r="H26" s="117">
        <v>0.1</v>
      </c>
      <c r="I26" s="67">
        <f t="shared" si="5"/>
        <v>4999999.9000000004</v>
      </c>
      <c r="J26" s="68">
        <f t="shared" si="0"/>
        <v>2E-8</v>
      </c>
      <c r="K26" s="55" t="str">
        <f t="shared" si="25"/>
        <v>Se ha avanzado muy poco o nada en este indicador</v>
      </c>
      <c r="L26" s="179">
        <v>20000000</v>
      </c>
      <c r="M26" s="207">
        <v>0.5</v>
      </c>
      <c r="N26" s="116">
        <f t="shared" si="22"/>
        <v>10000000</v>
      </c>
      <c r="O26" s="179">
        <v>0.1</v>
      </c>
      <c r="P26" s="70">
        <f t="shared" si="6"/>
        <v>9999999.9000000004</v>
      </c>
      <c r="Q26" s="59">
        <f t="shared" si="7"/>
        <v>1E-8</v>
      </c>
      <c r="R26" s="55" t="str">
        <f t="shared" si="26"/>
        <v>Se ha avanzado muy poco o nada en este indicador</v>
      </c>
      <c r="S26" s="217">
        <v>11151000</v>
      </c>
      <c r="T26" s="215">
        <v>0.75</v>
      </c>
      <c r="U26" s="248">
        <v>11150791</v>
      </c>
      <c r="V26" s="248">
        <v>11150791</v>
      </c>
      <c r="W26" s="248">
        <f t="shared" si="8"/>
        <v>0</v>
      </c>
      <c r="X26" s="59">
        <f t="shared" si="23"/>
        <v>1</v>
      </c>
      <c r="Y26" s="249" t="str">
        <f t="shared" si="24"/>
        <v>Nivel del indicador que satisface y supera las expectativas</v>
      </c>
      <c r="Z26" s="70"/>
      <c r="AA26" s="70"/>
      <c r="AB26" s="70">
        <f t="shared" si="11"/>
        <v>0</v>
      </c>
      <c r="AC26" s="59" t="str">
        <f t="shared" si="12"/>
        <v/>
      </c>
      <c r="AD26" s="55" t="str">
        <f t="shared" si="13"/>
        <v/>
      </c>
      <c r="AH26" s="79">
        <f t="shared" si="14"/>
        <v>5.0000000000000001E-9</v>
      </c>
      <c r="AI26" s="79">
        <f t="shared" si="15"/>
        <v>5.0000000000000001E-9</v>
      </c>
      <c r="AJ26" s="79">
        <f t="shared" si="16"/>
        <v>0.99998125728634202</v>
      </c>
      <c r="AK26" s="79">
        <f t="shared" si="17"/>
        <v>0</v>
      </c>
    </row>
    <row r="27" spans="1:37" ht="45" x14ac:dyDescent="0.25">
      <c r="A27" s="91" t="s">
        <v>235</v>
      </c>
      <c r="B27" s="91" t="s">
        <v>236</v>
      </c>
      <c r="C27" s="92" t="s">
        <v>254</v>
      </c>
      <c r="D27" s="93" t="s">
        <v>271</v>
      </c>
      <c r="E27" s="116">
        <v>101500000</v>
      </c>
      <c r="F27" s="207">
        <v>0.25</v>
      </c>
      <c r="G27" s="117">
        <v>47544748</v>
      </c>
      <c r="H27" s="117">
        <v>47544748</v>
      </c>
      <c r="I27" s="67">
        <f t="shared" si="5"/>
        <v>0</v>
      </c>
      <c r="J27" s="68">
        <f t="shared" si="0"/>
        <v>1</v>
      </c>
      <c r="K27" s="55" t="str">
        <f t="shared" si="1"/>
        <v>Nivel del indicador que satisface y supera las expectativas</v>
      </c>
      <c r="L27" s="179">
        <v>115416667</v>
      </c>
      <c r="M27" s="207">
        <v>0.5</v>
      </c>
      <c r="N27" s="116">
        <f t="shared" si="22"/>
        <v>57708333.5</v>
      </c>
      <c r="O27" s="179">
        <v>47544748</v>
      </c>
      <c r="P27" s="70">
        <f t="shared" si="6"/>
        <v>10163585.5</v>
      </c>
      <c r="Q27" s="59">
        <f t="shared" si="7"/>
        <v>0.82388010736785533</v>
      </c>
      <c r="R27" s="55" t="str">
        <f t="shared" si="26"/>
        <v>Nivel del indicador que satisface y supera las expectativas</v>
      </c>
      <c r="S27" s="217">
        <v>115416667</v>
      </c>
      <c r="T27" s="215">
        <v>0.75</v>
      </c>
      <c r="U27" s="248">
        <v>110337633</v>
      </c>
      <c r="V27" s="248">
        <v>110337633</v>
      </c>
      <c r="W27" s="248">
        <f t="shared" si="8"/>
        <v>0</v>
      </c>
      <c r="X27" s="59">
        <f t="shared" si="23"/>
        <v>1</v>
      </c>
      <c r="Y27" s="249" t="str">
        <f t="shared" si="24"/>
        <v>Nivel del indicador que satisface y supera las expectativas</v>
      </c>
      <c r="Z27" s="70"/>
      <c r="AA27" s="70"/>
      <c r="AB27" s="70">
        <f t="shared" si="11"/>
        <v>0</v>
      </c>
      <c r="AC27" s="59" t="str">
        <f t="shared" si="12"/>
        <v/>
      </c>
      <c r="AD27" s="55" t="str">
        <f t="shared" si="13"/>
        <v/>
      </c>
      <c r="AH27" s="79">
        <f t="shared" si="14"/>
        <v>0.46842116256157634</v>
      </c>
      <c r="AI27" s="79">
        <f t="shared" si="15"/>
        <v>0.41194005368392766</v>
      </c>
      <c r="AJ27" s="79">
        <f t="shared" si="16"/>
        <v>0.95599392936897065</v>
      </c>
      <c r="AK27" s="79">
        <f t="shared" si="17"/>
        <v>0</v>
      </c>
    </row>
    <row r="28" spans="1:37" ht="45" x14ac:dyDescent="0.25">
      <c r="A28" s="91" t="s">
        <v>237</v>
      </c>
      <c r="B28" s="91" t="s">
        <v>238</v>
      </c>
      <c r="C28" s="92" t="s">
        <v>255</v>
      </c>
      <c r="D28" s="93" t="s">
        <v>267</v>
      </c>
      <c r="E28" s="116">
        <v>2000000</v>
      </c>
      <c r="F28" s="207">
        <v>0.25</v>
      </c>
      <c r="G28" s="116">
        <f t="shared" si="4"/>
        <v>500000</v>
      </c>
      <c r="H28" s="117">
        <v>0.1</v>
      </c>
      <c r="I28" s="67">
        <f t="shared" si="5"/>
        <v>499999.9</v>
      </c>
      <c r="J28" s="68">
        <f t="shared" si="0"/>
        <v>2.0000000000000002E-7</v>
      </c>
      <c r="K28" s="55" t="str">
        <f t="shared" ref="K28:K33" si="27">IF(AND(E28&gt;0,H28=""),"¡¡Ojo No se Ejecuto Presupuesto!!",IF(J28=0%,"",IF(J28&lt;9%,"Se ha avanzado muy poco o nada en este indicador",IF(J28&lt;=20%,"Nivel Aceptable del Indicador",IF(J28&lt;=25%,"Nivel del indicador que cumple las expectativas","Nivel del indicador que satisface y supera las expectativas")))))</f>
        <v>Se ha avanzado muy poco o nada en este indicador</v>
      </c>
      <c r="L28" s="179">
        <v>2000000</v>
      </c>
      <c r="M28" s="207">
        <v>0.5</v>
      </c>
      <c r="N28" s="116">
        <f t="shared" si="22"/>
        <v>1000000</v>
      </c>
      <c r="O28" s="179">
        <v>0.1</v>
      </c>
      <c r="P28" s="70">
        <f t="shared" si="6"/>
        <v>999999.9</v>
      </c>
      <c r="Q28" s="59">
        <f t="shared" si="7"/>
        <v>1.0000000000000001E-7</v>
      </c>
      <c r="R28" s="55" t="str">
        <f t="shared" si="26"/>
        <v>Se ha avanzado muy poco o nada en este indicador</v>
      </c>
      <c r="S28" s="217">
        <v>2000000</v>
      </c>
      <c r="T28" s="215">
        <v>0.75</v>
      </c>
      <c r="U28" s="248">
        <f t="shared" si="19"/>
        <v>1500000</v>
      </c>
      <c r="V28" s="248">
        <v>0</v>
      </c>
      <c r="W28" s="248">
        <f t="shared" si="8"/>
        <v>1500000</v>
      </c>
      <c r="X28" s="59">
        <f t="shared" si="23"/>
        <v>0</v>
      </c>
      <c r="Y28" s="249" t="str">
        <f t="shared" si="24"/>
        <v>Se ha avanzado muy poco o nada en este indicador</v>
      </c>
      <c r="Z28" s="70"/>
      <c r="AA28" s="70"/>
      <c r="AB28" s="70">
        <f t="shared" si="11"/>
        <v>0</v>
      </c>
      <c r="AC28" s="59" t="str">
        <f t="shared" si="12"/>
        <v/>
      </c>
      <c r="AD28" s="55" t="str">
        <f t="shared" si="13"/>
        <v/>
      </c>
      <c r="AH28" s="79">
        <f t="shared" si="14"/>
        <v>5.0000000000000004E-8</v>
      </c>
      <c r="AI28" s="79">
        <f t="shared" si="15"/>
        <v>5.0000000000000004E-8</v>
      </c>
      <c r="AJ28" s="79">
        <f t="shared" si="16"/>
        <v>0</v>
      </c>
      <c r="AK28" s="79">
        <f t="shared" si="17"/>
        <v>0</v>
      </c>
    </row>
    <row r="29" spans="1:37" ht="30" x14ac:dyDescent="0.25">
      <c r="A29" s="91" t="s">
        <v>237</v>
      </c>
      <c r="B29" s="91" t="s">
        <v>239</v>
      </c>
      <c r="C29" s="92" t="s">
        <v>256</v>
      </c>
      <c r="D29" s="93" t="s">
        <v>272</v>
      </c>
      <c r="E29" s="116">
        <v>2000000</v>
      </c>
      <c r="F29" s="207">
        <v>0.25</v>
      </c>
      <c r="G29" s="116">
        <f t="shared" si="4"/>
        <v>500000</v>
      </c>
      <c r="H29" s="117">
        <v>0.1</v>
      </c>
      <c r="I29" s="67">
        <f t="shared" si="5"/>
        <v>499999.9</v>
      </c>
      <c r="J29" s="68">
        <f t="shared" si="0"/>
        <v>2.0000000000000002E-7</v>
      </c>
      <c r="K29" s="55" t="str">
        <f t="shared" si="27"/>
        <v>Se ha avanzado muy poco o nada en este indicador</v>
      </c>
      <c r="L29" s="179">
        <v>2000000</v>
      </c>
      <c r="M29" s="207">
        <v>0.5</v>
      </c>
      <c r="N29" s="116">
        <f t="shared" si="22"/>
        <v>1000000</v>
      </c>
      <c r="O29" s="179">
        <v>0.1</v>
      </c>
      <c r="P29" s="70">
        <f t="shared" si="6"/>
        <v>999999.9</v>
      </c>
      <c r="Q29" s="59">
        <f t="shared" si="7"/>
        <v>1.0000000000000001E-7</v>
      </c>
      <c r="R29" s="55" t="str">
        <f t="shared" si="26"/>
        <v>Se ha avanzado muy poco o nada en este indicador</v>
      </c>
      <c r="S29" s="217">
        <v>2000000</v>
      </c>
      <c r="T29" s="215">
        <v>0.75</v>
      </c>
      <c r="U29" s="248">
        <f t="shared" si="19"/>
        <v>1500000</v>
      </c>
      <c r="V29" s="248">
        <v>0</v>
      </c>
      <c r="W29" s="248">
        <f t="shared" si="8"/>
        <v>1500000</v>
      </c>
      <c r="X29" s="59">
        <f t="shared" si="23"/>
        <v>0</v>
      </c>
      <c r="Y29" s="249" t="str">
        <f t="shared" si="24"/>
        <v>Se ha avanzado muy poco o nada en este indicador</v>
      </c>
      <c r="Z29" s="70"/>
      <c r="AA29" s="70"/>
      <c r="AB29" s="70">
        <f t="shared" si="11"/>
        <v>0</v>
      </c>
      <c r="AC29" s="59" t="str">
        <f t="shared" si="12"/>
        <v/>
      </c>
      <c r="AD29" s="55" t="str">
        <f t="shared" si="13"/>
        <v/>
      </c>
      <c r="AH29" s="79">
        <f t="shared" si="14"/>
        <v>5.0000000000000004E-8</v>
      </c>
      <c r="AI29" s="79">
        <f t="shared" si="15"/>
        <v>5.0000000000000004E-8</v>
      </c>
      <c r="AJ29" s="79">
        <f t="shared" si="16"/>
        <v>0</v>
      </c>
      <c r="AK29" s="79">
        <f t="shared" si="17"/>
        <v>0</v>
      </c>
    </row>
    <row r="30" spans="1:37" ht="45" x14ac:dyDescent="0.25">
      <c r="A30" s="91" t="s">
        <v>237</v>
      </c>
      <c r="B30" s="91" t="s">
        <v>240</v>
      </c>
      <c r="C30" s="92" t="s">
        <v>257</v>
      </c>
      <c r="D30" s="93" t="s">
        <v>271</v>
      </c>
      <c r="E30" s="116">
        <v>40500000</v>
      </c>
      <c r="F30" s="207">
        <v>0.25</v>
      </c>
      <c r="G30" s="116">
        <f t="shared" si="4"/>
        <v>10125000</v>
      </c>
      <c r="H30" s="117">
        <v>8593662</v>
      </c>
      <c r="I30" s="67">
        <f t="shared" si="5"/>
        <v>1531338</v>
      </c>
      <c r="J30" s="68">
        <f t="shared" si="0"/>
        <v>0.8487567407407407</v>
      </c>
      <c r="K30" s="55" t="str">
        <f t="shared" si="27"/>
        <v>Nivel del indicador que satisface y supera las expectativas</v>
      </c>
      <c r="L30" s="179">
        <v>40700000</v>
      </c>
      <c r="M30" s="207">
        <v>0.5</v>
      </c>
      <c r="N30" s="179">
        <v>29275493</v>
      </c>
      <c r="O30" s="179">
        <v>29275493</v>
      </c>
      <c r="P30" s="70">
        <f t="shared" si="6"/>
        <v>0</v>
      </c>
      <c r="Q30" s="59">
        <f t="shared" si="7"/>
        <v>1</v>
      </c>
      <c r="R30" s="55" t="str">
        <f t="shared" si="26"/>
        <v>Nivel del indicador que satisface y supera las expectativas</v>
      </c>
      <c r="S30" s="217">
        <v>40700000</v>
      </c>
      <c r="T30" s="215">
        <v>0.75</v>
      </c>
      <c r="U30" s="248">
        <v>38650397</v>
      </c>
      <c r="V30" s="248">
        <v>38650397</v>
      </c>
      <c r="W30" s="248">
        <f t="shared" si="8"/>
        <v>0</v>
      </c>
      <c r="X30" s="59">
        <f t="shared" si="23"/>
        <v>1</v>
      </c>
      <c r="Y30" s="249" t="str">
        <f t="shared" si="24"/>
        <v>Nivel del indicador que satisface y supera las expectativas</v>
      </c>
      <c r="Z30" s="70"/>
      <c r="AA30" s="70"/>
      <c r="AB30" s="70">
        <f t="shared" si="11"/>
        <v>0</v>
      </c>
      <c r="AC30" s="59" t="str">
        <f t="shared" si="12"/>
        <v/>
      </c>
      <c r="AD30" s="55" t="str">
        <f t="shared" si="13"/>
        <v/>
      </c>
      <c r="AH30" s="79">
        <f t="shared" si="14"/>
        <v>0.21218918518518518</v>
      </c>
      <c r="AI30" s="79">
        <f t="shared" si="15"/>
        <v>0.71929958230958235</v>
      </c>
      <c r="AJ30" s="79">
        <f t="shared" si="16"/>
        <v>0.94964120393120388</v>
      </c>
      <c r="AK30" s="79">
        <f t="shared" si="17"/>
        <v>0</v>
      </c>
    </row>
    <row r="31" spans="1:37" ht="28.5" customHeight="1" x14ac:dyDescent="0.25">
      <c r="A31" s="91" t="s">
        <v>241</v>
      </c>
      <c r="B31" s="91" t="s">
        <v>242</v>
      </c>
      <c r="C31" s="92" t="s">
        <v>258</v>
      </c>
      <c r="D31" s="93" t="s">
        <v>267</v>
      </c>
      <c r="E31" s="116">
        <v>20000000</v>
      </c>
      <c r="F31" s="207">
        <v>0.25</v>
      </c>
      <c r="G31" s="116">
        <f t="shared" si="4"/>
        <v>5000000</v>
      </c>
      <c r="H31" s="117">
        <v>0.1</v>
      </c>
      <c r="I31" s="67">
        <f t="shared" si="5"/>
        <v>4999999.9000000004</v>
      </c>
      <c r="J31" s="68">
        <f t="shared" si="0"/>
        <v>2E-8</v>
      </c>
      <c r="K31" s="55" t="str">
        <f t="shared" si="27"/>
        <v>Se ha avanzado muy poco o nada en este indicador</v>
      </c>
      <c r="L31" s="179">
        <v>20000000</v>
      </c>
      <c r="M31" s="207">
        <v>0.5</v>
      </c>
      <c r="N31" s="116">
        <v>3000000</v>
      </c>
      <c r="O31" s="179">
        <v>2181279</v>
      </c>
      <c r="P31" s="70">
        <f t="shared" si="6"/>
        <v>818721</v>
      </c>
      <c r="Q31" s="59">
        <f t="shared" si="7"/>
        <v>0.72709299999999999</v>
      </c>
      <c r="R31" s="55" t="str">
        <f t="shared" si="26"/>
        <v>Nivel del indicador que satisface y supera las expectativas</v>
      </c>
      <c r="S31" s="217">
        <v>14000000</v>
      </c>
      <c r="T31" s="215">
        <v>0.75</v>
      </c>
      <c r="U31" s="248">
        <v>12590755</v>
      </c>
      <c r="V31" s="248">
        <v>12590755</v>
      </c>
      <c r="W31" s="248">
        <f t="shared" si="8"/>
        <v>0</v>
      </c>
      <c r="X31" s="59">
        <f t="shared" si="23"/>
        <v>1</v>
      </c>
      <c r="Y31" s="249" t="str">
        <f t="shared" si="24"/>
        <v>Nivel del indicador que satisface y supera las expectativas</v>
      </c>
      <c r="Z31" s="70"/>
      <c r="AA31" s="70"/>
      <c r="AB31" s="70">
        <f t="shared" si="11"/>
        <v>0</v>
      </c>
      <c r="AC31" s="59" t="str">
        <f t="shared" si="12"/>
        <v/>
      </c>
      <c r="AD31" s="55" t="str">
        <f t="shared" si="13"/>
        <v/>
      </c>
      <c r="AH31" s="79">
        <f t="shared" si="14"/>
        <v>5.0000000000000001E-9</v>
      </c>
      <c r="AI31" s="79">
        <f t="shared" si="15"/>
        <v>0.10906395000000001</v>
      </c>
      <c r="AJ31" s="79">
        <f t="shared" si="16"/>
        <v>0.89933964285714285</v>
      </c>
      <c r="AK31" s="79">
        <f t="shared" si="17"/>
        <v>0</v>
      </c>
    </row>
    <row r="32" spans="1:37" ht="60" x14ac:dyDescent="0.25">
      <c r="A32" s="91" t="s">
        <v>241</v>
      </c>
      <c r="B32" s="91" t="s">
        <v>243</v>
      </c>
      <c r="C32" s="92" t="s">
        <v>259</v>
      </c>
      <c r="D32" s="93" t="s">
        <v>273</v>
      </c>
      <c r="E32" s="116">
        <v>53000000</v>
      </c>
      <c r="F32" s="207">
        <v>0.25</v>
      </c>
      <c r="G32" s="117">
        <v>23815235</v>
      </c>
      <c r="H32" s="117">
        <v>23815235</v>
      </c>
      <c r="I32" s="67">
        <f t="shared" si="5"/>
        <v>0</v>
      </c>
      <c r="J32" s="68">
        <f t="shared" si="0"/>
        <v>1</v>
      </c>
      <c r="K32" s="55" t="str">
        <f t="shared" si="27"/>
        <v>Nivel del indicador que satisface y supera las expectativas</v>
      </c>
      <c r="L32" s="179">
        <v>63000000</v>
      </c>
      <c r="M32" s="207">
        <v>0.5</v>
      </c>
      <c r="N32" s="116">
        <f t="shared" si="22"/>
        <v>31500000</v>
      </c>
      <c r="O32" s="179">
        <v>28215235</v>
      </c>
      <c r="P32" s="70">
        <f t="shared" si="6"/>
        <v>3284765</v>
      </c>
      <c r="Q32" s="59">
        <f t="shared" si="7"/>
        <v>0.89572174603174604</v>
      </c>
      <c r="R32" s="55" t="str">
        <f t="shared" ref="R32:R35" si="28">IF(AND(L32&gt;0,O32=""),"¡¡Ojo No se Ejecuto Presupuesto!!",IF(Q32=0%,"",IF(Q32&lt;16%,"Se ha avanzado muy poco o nada en este indicador",IF(Q32&lt;=37%,"Nivel Aceptable del Indicador",IF(Q32&lt;=50%,"Nivel del indicador que cumple las expectativas","Nivel del indicador que satisface y supera las expectativas")))))</f>
        <v>Nivel del indicador que satisface y supera las expectativas</v>
      </c>
      <c r="S32" s="217">
        <v>72600000</v>
      </c>
      <c r="T32" s="215">
        <v>0.75</v>
      </c>
      <c r="U32" s="248">
        <f t="shared" si="19"/>
        <v>54450000</v>
      </c>
      <c r="V32" s="248">
        <v>35540235</v>
      </c>
      <c r="W32" s="248">
        <f t="shared" si="8"/>
        <v>18909765</v>
      </c>
      <c r="X32" s="59">
        <f t="shared" si="23"/>
        <v>0.65271322314049585</v>
      </c>
      <c r="Y32" s="249" t="str">
        <f t="shared" si="24"/>
        <v>Nivel del indicador que cumple las expectativas</v>
      </c>
      <c r="Z32" s="70"/>
      <c r="AA32" s="70"/>
      <c r="AB32" s="70">
        <f t="shared" si="11"/>
        <v>0</v>
      </c>
      <c r="AC32" s="59" t="str">
        <f t="shared" si="12"/>
        <v/>
      </c>
      <c r="AD32" s="55" t="str">
        <f t="shared" si="13"/>
        <v/>
      </c>
      <c r="AH32" s="79">
        <f t="shared" si="14"/>
        <v>0.44934405660377358</v>
      </c>
      <c r="AI32" s="79">
        <f t="shared" si="15"/>
        <v>0.44786087301587302</v>
      </c>
      <c r="AJ32" s="79">
        <f t="shared" si="16"/>
        <v>0.48953491735537191</v>
      </c>
      <c r="AK32" s="79">
        <f t="shared" si="17"/>
        <v>0</v>
      </c>
    </row>
    <row r="33" spans="1:37" ht="45" x14ac:dyDescent="0.25">
      <c r="A33" s="91" t="s">
        <v>241</v>
      </c>
      <c r="B33" s="91" t="s">
        <v>244</v>
      </c>
      <c r="C33" s="92" t="s">
        <v>260</v>
      </c>
      <c r="D33" s="93" t="s">
        <v>267</v>
      </c>
      <c r="E33" s="118">
        <v>25563580</v>
      </c>
      <c r="F33" s="207">
        <v>0.25</v>
      </c>
      <c r="G33" s="116">
        <f t="shared" si="4"/>
        <v>6390895</v>
      </c>
      <c r="H33" s="119">
        <v>1400000</v>
      </c>
      <c r="I33" s="67">
        <f t="shared" si="5"/>
        <v>4990895</v>
      </c>
      <c r="J33" s="68">
        <f t="shared" si="0"/>
        <v>0.21906164942468934</v>
      </c>
      <c r="K33" s="55" t="str">
        <f t="shared" si="27"/>
        <v>Nivel del indicador que cumple las expectativas</v>
      </c>
      <c r="L33" s="179">
        <v>25563580</v>
      </c>
      <c r="M33" s="207">
        <v>0.5</v>
      </c>
      <c r="N33" s="116">
        <v>2500000</v>
      </c>
      <c r="O33" s="179">
        <v>1400000</v>
      </c>
      <c r="P33" s="70">
        <f t="shared" si="6"/>
        <v>1100000</v>
      </c>
      <c r="Q33" s="59">
        <f t="shared" si="7"/>
        <v>0.56000000000000005</v>
      </c>
      <c r="R33" s="55" t="str">
        <f t="shared" si="28"/>
        <v>Nivel del indicador que satisface y supera las expectativas</v>
      </c>
      <c r="S33" s="217">
        <v>16963580</v>
      </c>
      <c r="T33" s="215">
        <v>0.75</v>
      </c>
      <c r="U33" s="248">
        <f t="shared" si="19"/>
        <v>12722685</v>
      </c>
      <c r="V33" s="248">
        <v>9695000</v>
      </c>
      <c r="W33" s="248">
        <f t="shared" si="8"/>
        <v>3027685</v>
      </c>
      <c r="X33" s="59">
        <f t="shared" si="23"/>
        <v>0.76202468268293999</v>
      </c>
      <c r="Y33" s="249" t="str">
        <f t="shared" si="24"/>
        <v>Nivel del indicador que satisface y supera las expectativas</v>
      </c>
      <c r="Z33" s="70"/>
      <c r="AA33" s="70"/>
      <c r="AB33" s="70">
        <f t="shared" si="11"/>
        <v>0</v>
      </c>
      <c r="AC33" s="59" t="str">
        <f t="shared" si="12"/>
        <v/>
      </c>
      <c r="AD33" s="55" t="str">
        <f t="shared" si="13"/>
        <v/>
      </c>
      <c r="AH33" s="79">
        <f t="shared" si="14"/>
        <v>5.4765412356172334E-2</v>
      </c>
      <c r="AI33" s="79">
        <f t="shared" si="15"/>
        <v>5.4765412356172334E-2</v>
      </c>
      <c r="AJ33" s="79">
        <f t="shared" si="16"/>
        <v>0.57151851201220494</v>
      </c>
      <c r="AK33" s="79">
        <f t="shared" si="17"/>
        <v>0</v>
      </c>
    </row>
    <row r="34" spans="1:37" ht="31.5" customHeight="1" x14ac:dyDescent="0.25">
      <c r="A34" s="57" t="s">
        <v>295</v>
      </c>
      <c r="B34" s="57" t="s">
        <v>296</v>
      </c>
      <c r="C34" s="54" t="s">
        <v>297</v>
      </c>
      <c r="D34" s="58" t="s">
        <v>363</v>
      </c>
      <c r="E34" s="120">
        <v>102665765</v>
      </c>
      <c r="F34" s="207">
        <v>0.25</v>
      </c>
      <c r="G34" s="116">
        <f t="shared" si="4"/>
        <v>25666441.25</v>
      </c>
      <c r="H34" s="121">
        <v>6876688</v>
      </c>
      <c r="I34" s="67">
        <f t="shared" si="5"/>
        <v>18789753.25</v>
      </c>
      <c r="J34" s="68">
        <f t="shared" si="0"/>
        <v>0.2679252621358249</v>
      </c>
      <c r="K34" s="55" t="str">
        <f t="shared" si="1"/>
        <v>Nivel del indicador que satisface y supera las expectativas</v>
      </c>
      <c r="L34" s="179">
        <v>102665765</v>
      </c>
      <c r="M34" s="207">
        <v>0.5</v>
      </c>
      <c r="N34" s="116">
        <f t="shared" si="22"/>
        <v>51332882.5</v>
      </c>
      <c r="O34" s="179">
        <v>12650877</v>
      </c>
      <c r="P34" s="70">
        <f t="shared" si="6"/>
        <v>38682005.5</v>
      </c>
      <c r="Q34" s="59">
        <f t="shared" si="7"/>
        <v>0.24644782026413575</v>
      </c>
      <c r="R34" s="55" t="str">
        <f t="shared" si="28"/>
        <v>Nivel Aceptable del Indicador</v>
      </c>
      <c r="S34" s="217">
        <v>102665765</v>
      </c>
      <c r="T34" s="215">
        <v>0.75</v>
      </c>
      <c r="U34" s="250">
        <f>+S34*T34*0.8</f>
        <v>61599459</v>
      </c>
      <c r="V34" s="248">
        <v>14078877</v>
      </c>
      <c r="W34" s="248">
        <f t="shared" si="8"/>
        <v>47520582</v>
      </c>
      <c r="X34" s="59">
        <f t="shared" si="23"/>
        <v>0.22855520533061824</v>
      </c>
      <c r="Y34" s="249" t="str">
        <f t="shared" si="24"/>
        <v>Se ha avanzado muy poco o nada en este indicador</v>
      </c>
      <c r="Z34" s="70"/>
      <c r="AA34" s="70"/>
      <c r="AB34" s="70">
        <f>Z34-AA34</f>
        <v>0</v>
      </c>
      <c r="AC34" s="59" t="str">
        <f>IF(AB34&gt;0,AA34/Z34,"")</f>
        <v/>
      </c>
      <c r="AD34" s="55" t="str">
        <f>IF(AND(Z34&gt;0,AA34=""),"¡¡Ojo No se Ejecuto Presupuesto!!",IF(AC34="","",IF(AC34&lt;33.99%,"Se ha avanzado muy poco o nada en este indicador",IF(AC34&lt;=75.99%,"Nivel Aceptable del Indicador",IF(AC34&lt;=98.99%,"Nivel del indicador que cumple las expectativas","Nivel del indicador que satisface y supera las expectativas")))))</f>
        <v/>
      </c>
      <c r="AH34" s="79">
        <f>IFERROR((H34/E34),0)</f>
        <v>6.6981315533956226E-2</v>
      </c>
      <c r="AI34" s="79">
        <f>IFERROR((O34/L34),0)</f>
        <v>0.12322391013206788</v>
      </c>
      <c r="AJ34" s="79">
        <f>IFERROR((V34/S34),0)</f>
        <v>0.13713312319837095</v>
      </c>
      <c r="AK34" s="79">
        <f>IFERROR((AA34/Z34),0)</f>
        <v>0</v>
      </c>
    </row>
    <row r="35" spans="1:37" ht="45" x14ac:dyDescent="0.25">
      <c r="A35" s="57" t="s">
        <v>295</v>
      </c>
      <c r="B35" s="57" t="s">
        <v>298</v>
      </c>
      <c r="C35" s="54" t="s">
        <v>299</v>
      </c>
      <c r="D35" s="58" t="s">
        <v>364</v>
      </c>
      <c r="E35" s="120">
        <v>542157462</v>
      </c>
      <c r="F35" s="207">
        <v>0.25</v>
      </c>
      <c r="G35" s="121">
        <v>296589000</v>
      </c>
      <c r="H35" s="121">
        <v>296589000</v>
      </c>
      <c r="I35" s="67">
        <f t="shared" si="5"/>
        <v>0</v>
      </c>
      <c r="J35" s="68">
        <f t="shared" si="0"/>
        <v>1</v>
      </c>
      <c r="K35" s="55" t="str">
        <f t="shared" si="1"/>
        <v>Nivel del indicador que satisface y supera las expectativas</v>
      </c>
      <c r="L35" s="179">
        <v>542157462</v>
      </c>
      <c r="M35" s="207">
        <v>0.5</v>
      </c>
      <c r="N35" s="179">
        <v>306377147</v>
      </c>
      <c r="O35" s="179">
        <v>306377147</v>
      </c>
      <c r="P35" s="70">
        <f t="shared" si="6"/>
        <v>0</v>
      </c>
      <c r="Q35" s="59">
        <f t="shared" si="7"/>
        <v>1</v>
      </c>
      <c r="R35" s="55" t="str">
        <f t="shared" si="28"/>
        <v>Nivel del indicador que satisface y supera las expectativas</v>
      </c>
      <c r="S35" s="217">
        <v>542157462</v>
      </c>
      <c r="T35" s="215">
        <v>0.75</v>
      </c>
      <c r="U35" s="248">
        <f t="shared" si="19"/>
        <v>406618096.5</v>
      </c>
      <c r="V35" s="248">
        <v>394806310</v>
      </c>
      <c r="W35" s="248">
        <f t="shared" si="8"/>
        <v>11811786.5</v>
      </c>
      <c r="X35" s="59">
        <f t="shared" si="23"/>
        <v>0.9709511539164859</v>
      </c>
      <c r="Y35" s="249" t="str">
        <f t="shared" si="24"/>
        <v>Nivel del indicador que satisface y supera las expectativas</v>
      </c>
      <c r="Z35" s="70"/>
      <c r="AA35" s="70"/>
      <c r="AB35" s="70">
        <f t="shared" ref="AB35:AB65" si="29">Z35-AA35</f>
        <v>0</v>
      </c>
      <c r="AC35" s="59" t="str">
        <f t="shared" ref="AC35:AC65" si="30">IF(AB35&gt;0,AA35/Z35,"")</f>
        <v/>
      </c>
      <c r="AD35" s="55" t="str">
        <f t="shared" ref="AD35:AD65" si="31">IF(AND(Z35&gt;0,AA35=""),"¡¡Ojo No se Ejecuto Presupuesto!!",IF(AC35="","",IF(AC35&lt;33.99%,"Se ha avanzado muy poco o nada en este indicador",IF(AC35&lt;=75.99%,"Nivel Aceptable del Indicador",IF(AC35&lt;=98.99%,"Nivel del indicador que cumple las expectativas","Nivel del indicador que satisface y supera las expectativas")))))</f>
        <v/>
      </c>
      <c r="AH35" s="79">
        <f t="shared" ref="AH35:AH65" si="32">IFERROR((H35/E35),0)</f>
        <v>0.54705324705094627</v>
      </c>
      <c r="AI35" s="79">
        <f t="shared" ref="AI35:AI65" si="33">IFERROR((O35/L35),0)</f>
        <v>0.56510731378626677</v>
      </c>
      <c r="AJ35" s="79">
        <f t="shared" ref="AJ35:AJ65" si="34">IFERROR((V35/S35),0)</f>
        <v>0.72821336543736437</v>
      </c>
      <c r="AK35" s="79">
        <f t="shared" ref="AK35:AK65" si="35">IFERROR((AA35/Z35),0)</f>
        <v>0</v>
      </c>
    </row>
    <row r="36" spans="1:37" ht="37.5" customHeight="1" x14ac:dyDescent="0.25">
      <c r="A36" s="57" t="s">
        <v>295</v>
      </c>
      <c r="B36" s="57" t="s">
        <v>300</v>
      </c>
      <c r="C36" s="54" t="s">
        <v>301</v>
      </c>
      <c r="D36" s="58" t="s">
        <v>365</v>
      </c>
      <c r="E36" s="120">
        <v>415893803</v>
      </c>
      <c r="F36" s="207">
        <v>0.25</v>
      </c>
      <c r="G36" s="116">
        <f t="shared" si="4"/>
        <v>103973450.75</v>
      </c>
      <c r="H36" s="121">
        <v>74258872</v>
      </c>
      <c r="I36" s="67">
        <f t="shared" si="5"/>
        <v>29714578.75</v>
      </c>
      <c r="J36" s="68">
        <f t="shared" si="0"/>
        <v>0.7142099397908076</v>
      </c>
      <c r="K36" s="55" t="str">
        <f t="shared" si="1"/>
        <v>Nivel del indicador que satisface y supera las expectativas</v>
      </c>
      <c r="L36" s="179">
        <v>425893803</v>
      </c>
      <c r="M36" s="207">
        <v>0.5</v>
      </c>
      <c r="N36" s="116">
        <f t="shared" si="22"/>
        <v>212946901.5</v>
      </c>
      <c r="O36" s="179">
        <v>112351466</v>
      </c>
      <c r="P36" s="70">
        <f t="shared" si="6"/>
        <v>100595435.5</v>
      </c>
      <c r="Q36" s="59">
        <f t="shared" si="7"/>
        <v>0.5276031968936632</v>
      </c>
      <c r="R36" s="55" t="str">
        <f>IF(AND(L36&gt;0,O36=""),"¡¡Ojo No se Ejecuto Presupuesto!!",IF(Q36=0%,"",IF(Q36&lt;16%,"Se ha avanzado muy poco o nada en este indicador",IF(Q36&lt;=37%,"Nivel Aceptable del Indicador",IF(Q36&lt;=50%,"Nivel del indicador que cumple las expectativas","Nivel del indicador que satisface y supera las expectativas")))))</f>
        <v>Nivel del indicador que satisface y supera las expectativas</v>
      </c>
      <c r="S36" s="217">
        <v>908772045</v>
      </c>
      <c r="T36" s="215">
        <v>0.75</v>
      </c>
      <c r="U36" s="250">
        <f>+S36*T36*0.8</f>
        <v>545263227</v>
      </c>
      <c r="V36" s="248">
        <v>204648333</v>
      </c>
      <c r="W36" s="248">
        <f t="shared" si="8"/>
        <v>340614894</v>
      </c>
      <c r="X36" s="59">
        <f t="shared" si="23"/>
        <v>0.37532025426684423</v>
      </c>
      <c r="Y36" s="249" t="str">
        <f t="shared" si="24"/>
        <v>Nivel Aceptable del Indicador</v>
      </c>
      <c r="Z36" s="70"/>
      <c r="AA36" s="70"/>
      <c r="AB36" s="70">
        <f t="shared" si="29"/>
        <v>0</v>
      </c>
      <c r="AC36" s="59" t="str">
        <f t="shared" si="30"/>
        <v/>
      </c>
      <c r="AD36" s="55" t="str">
        <f t="shared" si="31"/>
        <v/>
      </c>
      <c r="AH36" s="79">
        <f t="shared" si="32"/>
        <v>0.1785524849477019</v>
      </c>
      <c r="AI36" s="79">
        <f t="shared" si="33"/>
        <v>0.2638015984468316</v>
      </c>
      <c r="AJ36" s="79">
        <f t="shared" si="34"/>
        <v>0.22519215256010652</v>
      </c>
      <c r="AK36" s="79">
        <f t="shared" si="35"/>
        <v>0</v>
      </c>
    </row>
    <row r="37" spans="1:37" ht="45" x14ac:dyDescent="0.25">
      <c r="A37" s="57" t="s">
        <v>295</v>
      </c>
      <c r="B37" s="57" t="s">
        <v>302</v>
      </c>
      <c r="C37" s="54" t="s">
        <v>303</v>
      </c>
      <c r="D37" s="58" t="s">
        <v>363</v>
      </c>
      <c r="E37" s="120">
        <v>15000000</v>
      </c>
      <c r="F37" s="207">
        <v>0.25</v>
      </c>
      <c r="G37" s="121">
        <v>15000000</v>
      </c>
      <c r="H37" s="121">
        <v>15000000</v>
      </c>
      <c r="I37" s="67">
        <f t="shared" si="5"/>
        <v>0</v>
      </c>
      <c r="J37" s="68">
        <f t="shared" si="0"/>
        <v>1</v>
      </c>
      <c r="K37" s="55" t="str">
        <f t="shared" si="1"/>
        <v>Nivel del indicador que satisface y supera las expectativas</v>
      </c>
      <c r="L37" s="179">
        <v>15000000</v>
      </c>
      <c r="M37" s="207">
        <v>0.5</v>
      </c>
      <c r="N37" s="179">
        <v>15000000</v>
      </c>
      <c r="O37" s="179">
        <v>15000000</v>
      </c>
      <c r="P37" s="70">
        <f t="shared" si="6"/>
        <v>0</v>
      </c>
      <c r="Q37" s="59">
        <f t="shared" si="7"/>
        <v>1</v>
      </c>
      <c r="R37" s="55" t="str">
        <f t="shared" ref="R37:R65" si="36">IF(AND(L37&gt;0,O37=""),"¡¡Ojo No se Ejecuto Presupuesto!!",IF(Q37=0%,"",IF(Q37&lt;16%,"Se ha avanzado muy poco o nada en este indicador",IF(Q37&lt;=37%,"Nivel Aceptable del Indicador",IF(Q37&lt;=50%,"Nivel del indicador que cumple las expectativas","Nivel del indicador que satisface y supera las expectativas")))))</f>
        <v>Nivel del indicador que satisface y supera las expectativas</v>
      </c>
      <c r="S37" s="217">
        <v>15000000</v>
      </c>
      <c r="T37" s="215">
        <v>0.75</v>
      </c>
      <c r="U37" s="248">
        <v>15000000</v>
      </c>
      <c r="V37" s="248">
        <v>15000000</v>
      </c>
      <c r="W37" s="248">
        <f t="shared" si="8"/>
        <v>0</v>
      </c>
      <c r="X37" s="59">
        <f t="shared" si="23"/>
        <v>1</v>
      </c>
      <c r="Y37" s="249" t="str">
        <f t="shared" si="24"/>
        <v>Nivel del indicador que satisface y supera las expectativas</v>
      </c>
      <c r="Z37" s="70"/>
      <c r="AA37" s="70"/>
      <c r="AB37" s="70">
        <f t="shared" si="29"/>
        <v>0</v>
      </c>
      <c r="AC37" s="59" t="str">
        <f t="shared" si="30"/>
        <v/>
      </c>
      <c r="AD37" s="55" t="str">
        <f t="shared" si="31"/>
        <v/>
      </c>
      <c r="AH37" s="79">
        <f t="shared" si="32"/>
        <v>1</v>
      </c>
      <c r="AI37" s="79">
        <f t="shared" si="33"/>
        <v>1</v>
      </c>
      <c r="AJ37" s="79">
        <f t="shared" si="34"/>
        <v>1</v>
      </c>
      <c r="AK37" s="79">
        <f t="shared" si="35"/>
        <v>0</v>
      </c>
    </row>
    <row r="38" spans="1:37" ht="45" x14ac:dyDescent="0.25">
      <c r="A38" s="57" t="s">
        <v>295</v>
      </c>
      <c r="B38" s="57" t="s">
        <v>304</v>
      </c>
      <c r="C38" s="54" t="s">
        <v>556</v>
      </c>
      <c r="D38" s="58" t="s">
        <v>363</v>
      </c>
      <c r="E38" s="120">
        <v>24461290</v>
      </c>
      <c r="F38" s="207">
        <v>0.25</v>
      </c>
      <c r="G38" s="121">
        <v>19322436</v>
      </c>
      <c r="H38" s="121">
        <v>19322436</v>
      </c>
      <c r="I38" s="67">
        <f t="shared" si="5"/>
        <v>0</v>
      </c>
      <c r="J38" s="68">
        <f t="shared" si="0"/>
        <v>1</v>
      </c>
      <c r="K38" s="55" t="str">
        <f t="shared" si="1"/>
        <v>Nivel del indicador que satisface y supera las expectativas</v>
      </c>
      <c r="L38" s="179">
        <v>24461290</v>
      </c>
      <c r="M38" s="207">
        <v>0.5</v>
      </c>
      <c r="N38" s="179">
        <v>24142981</v>
      </c>
      <c r="O38" s="179">
        <v>24142981</v>
      </c>
      <c r="P38" s="70">
        <f t="shared" si="6"/>
        <v>0</v>
      </c>
      <c r="Q38" s="59">
        <f t="shared" si="7"/>
        <v>1</v>
      </c>
      <c r="R38" s="55" t="str">
        <f t="shared" si="36"/>
        <v>Nivel del indicador que satisface y supera las expectativas</v>
      </c>
      <c r="S38" s="217">
        <v>24461290</v>
      </c>
      <c r="T38" s="215">
        <v>0.75</v>
      </c>
      <c r="U38" s="248">
        <v>24142981</v>
      </c>
      <c r="V38" s="248">
        <v>24142981</v>
      </c>
      <c r="W38" s="248">
        <f t="shared" si="8"/>
        <v>0</v>
      </c>
      <c r="X38" s="59">
        <f t="shared" si="23"/>
        <v>1</v>
      </c>
      <c r="Y38" s="249" t="str">
        <f t="shared" si="24"/>
        <v>Nivel del indicador que satisface y supera las expectativas</v>
      </c>
      <c r="Z38" s="70"/>
      <c r="AA38" s="70"/>
      <c r="AB38" s="70">
        <f t="shared" si="29"/>
        <v>0</v>
      </c>
      <c r="AC38" s="59" t="str">
        <f t="shared" si="30"/>
        <v/>
      </c>
      <c r="AD38" s="55" t="str">
        <f t="shared" si="31"/>
        <v/>
      </c>
      <c r="AH38" s="79">
        <f t="shared" si="32"/>
        <v>0.78991892905075733</v>
      </c>
      <c r="AI38" s="79">
        <f t="shared" si="33"/>
        <v>0.98698723575085368</v>
      </c>
      <c r="AJ38" s="79">
        <f t="shared" si="34"/>
        <v>0.98698723575085368</v>
      </c>
      <c r="AK38" s="79">
        <f t="shared" si="35"/>
        <v>0</v>
      </c>
    </row>
    <row r="39" spans="1:37" ht="45" x14ac:dyDescent="0.25">
      <c r="A39" s="57" t="s">
        <v>295</v>
      </c>
      <c r="B39" s="57" t="s">
        <v>305</v>
      </c>
      <c r="C39" s="54" t="s">
        <v>306</v>
      </c>
      <c r="D39" s="58" t="s">
        <v>363</v>
      </c>
      <c r="E39" s="120">
        <v>35000000</v>
      </c>
      <c r="F39" s="207">
        <v>0.25</v>
      </c>
      <c r="G39" s="121">
        <v>25520333</v>
      </c>
      <c r="H39" s="121">
        <v>25520333</v>
      </c>
      <c r="I39" s="67">
        <f t="shared" si="5"/>
        <v>0</v>
      </c>
      <c r="J39" s="68">
        <f t="shared" si="0"/>
        <v>1</v>
      </c>
      <c r="K39" s="55" t="str">
        <f t="shared" si="1"/>
        <v>Nivel del indicador que satisface y supera las expectativas</v>
      </c>
      <c r="L39" s="179">
        <v>35000000</v>
      </c>
      <c r="M39" s="207">
        <v>0.5</v>
      </c>
      <c r="N39" s="179">
        <v>25520333</v>
      </c>
      <c r="O39" s="179">
        <v>25520333</v>
      </c>
      <c r="P39" s="70">
        <f t="shared" si="6"/>
        <v>0</v>
      </c>
      <c r="Q39" s="59">
        <f t="shared" si="7"/>
        <v>1</v>
      </c>
      <c r="R39" s="55" t="str">
        <f t="shared" si="36"/>
        <v>Nivel del indicador que satisface y supera las expectativas</v>
      </c>
      <c r="S39" s="217">
        <v>35000000</v>
      </c>
      <c r="T39" s="215">
        <v>0.75</v>
      </c>
      <c r="U39" s="251">
        <v>31765966</v>
      </c>
      <c r="V39" s="251">
        <v>31765966</v>
      </c>
      <c r="W39" s="248">
        <f t="shared" si="8"/>
        <v>0</v>
      </c>
      <c r="X39" s="59">
        <f t="shared" si="23"/>
        <v>1</v>
      </c>
      <c r="Y39" s="249" t="str">
        <f t="shared" si="24"/>
        <v>Nivel del indicador que satisface y supera las expectativas</v>
      </c>
      <c r="Z39" s="70"/>
      <c r="AA39" s="70"/>
      <c r="AB39" s="70">
        <f t="shared" si="29"/>
        <v>0</v>
      </c>
      <c r="AC39" s="59" t="str">
        <f t="shared" si="30"/>
        <v/>
      </c>
      <c r="AD39" s="55" t="str">
        <f t="shared" si="31"/>
        <v/>
      </c>
      <c r="AH39" s="79">
        <f t="shared" si="32"/>
        <v>0.72915237142857148</v>
      </c>
      <c r="AI39" s="79">
        <f t="shared" si="33"/>
        <v>0.72915237142857148</v>
      </c>
      <c r="AJ39" s="79">
        <f t="shared" si="34"/>
        <v>0.9075990285714286</v>
      </c>
      <c r="AK39" s="79">
        <f t="shared" si="35"/>
        <v>0</v>
      </c>
    </row>
    <row r="40" spans="1:37" ht="28.5" customHeight="1" x14ac:dyDescent="0.25">
      <c r="A40" s="57" t="s">
        <v>295</v>
      </c>
      <c r="B40" s="57" t="s">
        <v>307</v>
      </c>
      <c r="C40" s="54" t="s">
        <v>308</v>
      </c>
      <c r="D40" s="58" t="s">
        <v>363</v>
      </c>
      <c r="E40" s="120">
        <v>76150000</v>
      </c>
      <c r="F40" s="207">
        <v>0.25</v>
      </c>
      <c r="G40" s="121">
        <v>20198412</v>
      </c>
      <c r="H40" s="121">
        <v>20198412</v>
      </c>
      <c r="I40" s="67">
        <f t="shared" si="5"/>
        <v>0</v>
      </c>
      <c r="J40" s="68">
        <f t="shared" si="0"/>
        <v>1</v>
      </c>
      <c r="K40" s="55" t="str">
        <f t="shared" si="1"/>
        <v>Nivel del indicador que satisface y supera las expectativas</v>
      </c>
      <c r="L40" s="179">
        <v>76150000</v>
      </c>
      <c r="M40" s="207">
        <v>0.5</v>
      </c>
      <c r="N40" s="116">
        <f t="shared" si="22"/>
        <v>38075000</v>
      </c>
      <c r="O40" s="179">
        <v>20303412</v>
      </c>
      <c r="P40" s="70">
        <f t="shared" si="6"/>
        <v>17771588</v>
      </c>
      <c r="Q40" s="59">
        <f t="shared" si="7"/>
        <v>0.53324785292186472</v>
      </c>
      <c r="R40" s="55" t="str">
        <f t="shared" si="36"/>
        <v>Nivel del indicador que satisface y supera las expectativas</v>
      </c>
      <c r="S40" s="217">
        <v>76150000</v>
      </c>
      <c r="T40" s="215">
        <v>0.75</v>
      </c>
      <c r="U40" s="248">
        <f>+S40*T40*0.8</f>
        <v>45690000</v>
      </c>
      <c r="V40" s="248">
        <v>31852223</v>
      </c>
      <c r="W40" s="248">
        <f t="shared" si="8"/>
        <v>13837777</v>
      </c>
      <c r="X40" s="59">
        <f t="shared" si="23"/>
        <v>0.69713773254541478</v>
      </c>
      <c r="Y40" s="249" t="str">
        <f t="shared" si="24"/>
        <v>Nivel del indicador que cumple las expectativas</v>
      </c>
      <c r="Z40" s="70"/>
      <c r="AA40" s="70"/>
      <c r="AB40" s="70">
        <f t="shared" si="29"/>
        <v>0</v>
      </c>
      <c r="AC40" s="59" t="str">
        <f t="shared" si="30"/>
        <v/>
      </c>
      <c r="AD40" s="55" t="str">
        <f t="shared" si="31"/>
        <v/>
      </c>
      <c r="AH40" s="79">
        <f t="shared" si="32"/>
        <v>0.26524506894287592</v>
      </c>
      <c r="AI40" s="79">
        <f t="shared" si="33"/>
        <v>0.26662392646093236</v>
      </c>
      <c r="AJ40" s="79">
        <f t="shared" si="34"/>
        <v>0.41828263952724887</v>
      </c>
      <c r="AK40" s="79">
        <f t="shared" si="35"/>
        <v>0</v>
      </c>
    </row>
    <row r="41" spans="1:37" ht="28.5" customHeight="1" x14ac:dyDescent="0.25">
      <c r="A41" s="57" t="s">
        <v>295</v>
      </c>
      <c r="B41" s="57" t="s">
        <v>554</v>
      </c>
      <c r="C41" s="54" t="s">
        <v>555</v>
      </c>
      <c r="D41" s="58" t="s">
        <v>363</v>
      </c>
      <c r="E41" s="120">
        <v>323850000</v>
      </c>
      <c r="F41" s="207">
        <v>0.25</v>
      </c>
      <c r="G41" s="116">
        <f t="shared" si="4"/>
        <v>80962500</v>
      </c>
      <c r="H41" s="121">
        <v>41986666</v>
      </c>
      <c r="I41" s="67">
        <f t="shared" si="5"/>
        <v>38975834</v>
      </c>
      <c r="J41" s="68">
        <f t="shared" si="0"/>
        <v>0.51859399104523696</v>
      </c>
      <c r="K41" s="55" t="str">
        <f t="shared" ref="K41" si="37">IF(AND(E41&gt;0,H41=""),"¡¡Ojo No se Ejecuto Presupuesto!!",IF(J41=0%,"",IF(J41&lt;9%,"Se ha avanzado muy poco o nada en este indicador",IF(J41&lt;=20%,"Nivel Aceptable del Indicador",IF(J41&lt;=25%,"Nivel del indicador que cumple las expectativas","Nivel del indicador que satisface y supera las expectativas")))))</f>
        <v>Nivel del indicador que satisface y supera las expectativas</v>
      </c>
      <c r="L41" s="179">
        <v>323850000</v>
      </c>
      <c r="M41" s="207">
        <v>0.5</v>
      </c>
      <c r="N41" s="116">
        <f t="shared" si="22"/>
        <v>161925000</v>
      </c>
      <c r="O41" s="179">
        <v>41986666</v>
      </c>
      <c r="P41" s="70">
        <f t="shared" si="6"/>
        <v>119938334</v>
      </c>
      <c r="Q41" s="59">
        <f t="shared" si="7"/>
        <v>0.25929699552261848</v>
      </c>
      <c r="R41" s="55" t="str">
        <f t="shared" ref="R41" si="38">IF(AND(L41&gt;0,O41=""),"¡¡Ojo No se Ejecuto Presupuesto!!",IF(Q41=0%,"",IF(Q41&lt;16%,"Se ha avanzado muy poco o nada en este indicador",IF(Q41&lt;=37%,"Nivel Aceptable del Indicador",IF(Q41&lt;=50%,"Nivel del indicador que cumple las expectativas","Nivel del indicador que satisface y supera las expectativas")))))</f>
        <v>Nivel Aceptable del Indicador</v>
      </c>
      <c r="S41" s="217">
        <v>323850000</v>
      </c>
      <c r="T41" s="215">
        <v>0.75</v>
      </c>
      <c r="U41" s="248">
        <f>+S41*T41*0.8</f>
        <v>194310000</v>
      </c>
      <c r="V41" s="248">
        <v>126553200</v>
      </c>
      <c r="W41" s="248">
        <f t="shared" si="8"/>
        <v>67756800</v>
      </c>
      <c r="X41" s="59">
        <f t="shared" si="23"/>
        <v>0.65129535278678397</v>
      </c>
      <c r="Y41" s="249" t="str">
        <f t="shared" si="24"/>
        <v>Nivel del indicador que cumple las expectativas</v>
      </c>
      <c r="Z41" s="70"/>
      <c r="AA41" s="70"/>
      <c r="AB41" s="70">
        <f t="shared" ref="AB41" si="39">Z41-AA41</f>
        <v>0</v>
      </c>
      <c r="AC41" s="59" t="str">
        <f t="shared" ref="AC41" si="40">IF(AB41&gt;0,AA41/Z41,"")</f>
        <v/>
      </c>
      <c r="AD41" s="55" t="str">
        <f t="shared" ref="AD41" si="41">IF(AND(Z41&gt;0,AA41=""),"¡¡Ojo No se Ejecuto Presupuesto!!",IF(AC41="","",IF(AC41&lt;33.99%,"Se ha avanzado muy poco o nada en este indicador",IF(AC41&lt;=75.99%,"Nivel Aceptable del Indicador",IF(AC41&lt;=98.99%,"Nivel del indicador que cumple las expectativas","Nivel del indicador que satisface y supera las expectativas")))))</f>
        <v/>
      </c>
      <c r="AH41" s="79">
        <f t="shared" ref="AH41" si="42">IFERROR((H41/E41),0)</f>
        <v>0.12964849776130924</v>
      </c>
      <c r="AI41" s="79">
        <f t="shared" ref="AI41" si="43">IFERROR((O41/L41),0)</f>
        <v>0.12964849776130924</v>
      </c>
      <c r="AJ41" s="79">
        <f t="shared" ref="AJ41" si="44">IFERROR((V41/S41),0)</f>
        <v>0.39077721167207041</v>
      </c>
      <c r="AK41" s="79">
        <f t="shared" ref="AK41" si="45">IFERROR((AA41/Z41),0)</f>
        <v>0</v>
      </c>
    </row>
    <row r="42" spans="1:37" ht="25.5" customHeight="1" x14ac:dyDescent="0.25">
      <c r="A42" s="57" t="s">
        <v>309</v>
      </c>
      <c r="B42" s="57" t="s">
        <v>310</v>
      </c>
      <c r="C42" s="54" t="s">
        <v>311</v>
      </c>
      <c r="D42" s="58" t="s">
        <v>363</v>
      </c>
      <c r="E42" s="120">
        <v>13000000</v>
      </c>
      <c r="F42" s="207">
        <v>0.25</v>
      </c>
      <c r="G42" s="121">
        <v>5120000</v>
      </c>
      <c r="H42" s="121">
        <v>5120000</v>
      </c>
      <c r="I42" s="67">
        <f t="shared" si="5"/>
        <v>0</v>
      </c>
      <c r="J42" s="68">
        <f t="shared" si="0"/>
        <v>1</v>
      </c>
      <c r="K42" s="55" t="str">
        <f t="shared" si="1"/>
        <v>Nivel del indicador que satisface y supera las expectativas</v>
      </c>
      <c r="L42" s="179">
        <v>27947231</v>
      </c>
      <c r="M42" s="207">
        <v>0.5</v>
      </c>
      <c r="N42" s="116">
        <f t="shared" si="22"/>
        <v>13973615.5</v>
      </c>
      <c r="O42" s="179">
        <v>13814000</v>
      </c>
      <c r="P42" s="70">
        <f t="shared" si="6"/>
        <v>159615.5</v>
      </c>
      <c r="Q42" s="59">
        <f t="shared" si="7"/>
        <v>0.98857736567891108</v>
      </c>
      <c r="R42" s="55" t="str">
        <f t="shared" si="36"/>
        <v>Nivel del indicador que satisface y supera las expectativas</v>
      </c>
      <c r="S42" s="217">
        <v>27947231</v>
      </c>
      <c r="T42" s="215">
        <v>0.75</v>
      </c>
      <c r="U42" s="248">
        <v>21480752</v>
      </c>
      <c r="V42" s="248">
        <v>21480752</v>
      </c>
      <c r="W42" s="248">
        <f t="shared" si="8"/>
        <v>0</v>
      </c>
      <c r="X42" s="59">
        <f t="shared" si="23"/>
        <v>1</v>
      </c>
      <c r="Y42" s="249" t="str">
        <f t="shared" si="24"/>
        <v>Nivel del indicador que satisface y supera las expectativas</v>
      </c>
      <c r="Z42" s="70"/>
      <c r="AA42" s="70"/>
      <c r="AB42" s="70">
        <f t="shared" si="29"/>
        <v>0</v>
      </c>
      <c r="AC42" s="59" t="str">
        <f t="shared" si="30"/>
        <v/>
      </c>
      <c r="AD42" s="55" t="str">
        <f t="shared" si="31"/>
        <v/>
      </c>
      <c r="AH42" s="79">
        <f t="shared" si="32"/>
        <v>0.39384615384615385</v>
      </c>
      <c r="AI42" s="79">
        <f t="shared" si="33"/>
        <v>0.49428868283945554</v>
      </c>
      <c r="AJ42" s="79">
        <f t="shared" si="34"/>
        <v>0.76861825774438974</v>
      </c>
      <c r="AK42" s="79">
        <f t="shared" si="35"/>
        <v>0</v>
      </c>
    </row>
    <row r="43" spans="1:37" ht="30" customHeight="1" x14ac:dyDescent="0.25">
      <c r="A43" s="57" t="s">
        <v>309</v>
      </c>
      <c r="B43" s="57" t="s">
        <v>312</v>
      </c>
      <c r="C43" s="54" t="s">
        <v>313</v>
      </c>
      <c r="D43" s="58" t="s">
        <v>363</v>
      </c>
      <c r="E43" s="120">
        <v>18000000</v>
      </c>
      <c r="F43" s="207">
        <v>0.25</v>
      </c>
      <c r="G43" s="116">
        <f t="shared" si="4"/>
        <v>4500000</v>
      </c>
      <c r="H43" s="121">
        <v>3052769</v>
      </c>
      <c r="I43" s="67">
        <f t="shared" si="5"/>
        <v>1447231</v>
      </c>
      <c r="J43" s="68">
        <f t="shared" si="0"/>
        <v>0.67839311111111111</v>
      </c>
      <c r="K43" s="55" t="str">
        <f t="shared" si="1"/>
        <v>Nivel del indicador que satisface y supera las expectativas</v>
      </c>
      <c r="L43" s="179">
        <v>3052769</v>
      </c>
      <c r="M43" s="207">
        <v>0.5</v>
      </c>
      <c r="N43" s="179">
        <v>3052769</v>
      </c>
      <c r="O43" s="179">
        <v>3052769</v>
      </c>
      <c r="P43" s="70">
        <f t="shared" si="6"/>
        <v>0</v>
      </c>
      <c r="Q43" s="59">
        <f t="shared" si="7"/>
        <v>1</v>
      </c>
      <c r="R43" s="55" t="str">
        <f t="shared" si="36"/>
        <v>Nivel del indicador que satisface y supera las expectativas</v>
      </c>
      <c r="S43" s="217">
        <v>3052769</v>
      </c>
      <c r="T43" s="215">
        <v>0.75</v>
      </c>
      <c r="U43" s="248">
        <v>3052769</v>
      </c>
      <c r="V43" s="248">
        <v>3052769</v>
      </c>
      <c r="W43" s="248">
        <f t="shared" si="8"/>
        <v>0</v>
      </c>
      <c r="X43" s="59">
        <f t="shared" si="23"/>
        <v>1</v>
      </c>
      <c r="Y43" s="249" t="str">
        <f t="shared" si="24"/>
        <v>Nivel del indicador que satisface y supera las expectativas</v>
      </c>
      <c r="Z43" s="70"/>
      <c r="AA43" s="70"/>
      <c r="AB43" s="70">
        <f t="shared" si="29"/>
        <v>0</v>
      </c>
      <c r="AC43" s="59" t="str">
        <f t="shared" si="30"/>
        <v/>
      </c>
      <c r="AD43" s="55" t="str">
        <f t="shared" si="31"/>
        <v/>
      </c>
      <c r="AH43" s="79">
        <f t="shared" si="32"/>
        <v>0.16959827777777778</v>
      </c>
      <c r="AI43" s="79">
        <f t="shared" si="33"/>
        <v>1</v>
      </c>
      <c r="AJ43" s="79">
        <f t="shared" si="34"/>
        <v>1</v>
      </c>
      <c r="AK43" s="79">
        <f t="shared" si="35"/>
        <v>0</v>
      </c>
    </row>
    <row r="44" spans="1:37" ht="60" x14ac:dyDescent="0.25">
      <c r="A44" s="57" t="s">
        <v>309</v>
      </c>
      <c r="B44" s="57" t="s">
        <v>314</v>
      </c>
      <c r="C44" s="54" t="s">
        <v>315</v>
      </c>
      <c r="D44" s="58" t="s">
        <v>366</v>
      </c>
      <c r="E44" s="120">
        <v>117000000</v>
      </c>
      <c r="F44" s="207">
        <v>0.25</v>
      </c>
      <c r="G44" s="116">
        <f t="shared" si="4"/>
        <v>29250000</v>
      </c>
      <c r="H44" s="121">
        <v>24036162</v>
      </c>
      <c r="I44" s="67">
        <f t="shared" si="5"/>
        <v>5213838</v>
      </c>
      <c r="J44" s="68">
        <f t="shared" si="0"/>
        <v>0.82174912820512824</v>
      </c>
      <c r="K44" s="55" t="str">
        <f t="shared" si="1"/>
        <v>Nivel del indicador que satisface y supera las expectativas</v>
      </c>
      <c r="L44" s="179">
        <v>132000000</v>
      </c>
      <c r="M44" s="207">
        <v>0.5</v>
      </c>
      <c r="N44" s="116">
        <f t="shared" si="22"/>
        <v>66000000</v>
      </c>
      <c r="O44" s="179">
        <v>54610387</v>
      </c>
      <c r="P44" s="70">
        <f t="shared" si="6"/>
        <v>11389613</v>
      </c>
      <c r="Q44" s="59">
        <f t="shared" si="7"/>
        <v>0.82743010606060607</v>
      </c>
      <c r="R44" s="55" t="str">
        <f t="shared" si="36"/>
        <v>Nivel del indicador que satisface y supera las expectativas</v>
      </c>
      <c r="S44" s="217">
        <v>123000000</v>
      </c>
      <c r="T44" s="215">
        <v>0.75</v>
      </c>
      <c r="U44" s="248">
        <f t="shared" si="19"/>
        <v>92250000</v>
      </c>
      <c r="V44" s="248">
        <v>71535882</v>
      </c>
      <c r="W44" s="248">
        <f t="shared" si="8"/>
        <v>20714118</v>
      </c>
      <c r="X44" s="59">
        <f t="shared" si="23"/>
        <v>0.77545671544715444</v>
      </c>
      <c r="Y44" s="249" t="str">
        <f t="shared" si="24"/>
        <v>Nivel del indicador que satisface y supera las expectativas</v>
      </c>
      <c r="Z44" s="70"/>
      <c r="AA44" s="70"/>
      <c r="AB44" s="70">
        <f t="shared" si="29"/>
        <v>0</v>
      </c>
      <c r="AC44" s="59" t="str">
        <f t="shared" si="30"/>
        <v/>
      </c>
      <c r="AD44" s="55" t="str">
        <f t="shared" si="31"/>
        <v/>
      </c>
      <c r="AH44" s="79">
        <f t="shared" si="32"/>
        <v>0.20543728205128206</v>
      </c>
      <c r="AI44" s="79">
        <f t="shared" si="33"/>
        <v>0.41371505303030304</v>
      </c>
      <c r="AJ44" s="79">
        <f t="shared" si="34"/>
        <v>0.5815925365853658</v>
      </c>
      <c r="AK44" s="79">
        <f t="shared" si="35"/>
        <v>0</v>
      </c>
    </row>
    <row r="45" spans="1:37" ht="45" x14ac:dyDescent="0.25">
      <c r="A45" s="57" t="s">
        <v>309</v>
      </c>
      <c r="B45" s="57" t="s">
        <v>316</v>
      </c>
      <c r="C45" s="54" t="s">
        <v>317</v>
      </c>
      <c r="D45" s="58" t="s">
        <v>367</v>
      </c>
      <c r="E45" s="120">
        <v>5000000</v>
      </c>
      <c r="F45" s="207">
        <v>0.25</v>
      </c>
      <c r="G45" s="121">
        <v>1250953</v>
      </c>
      <c r="H45" s="121">
        <v>1250953</v>
      </c>
      <c r="I45" s="67">
        <f t="shared" si="5"/>
        <v>0</v>
      </c>
      <c r="J45" s="68">
        <f t="shared" si="0"/>
        <v>1</v>
      </c>
      <c r="K45" s="55" t="str">
        <f t="shared" si="1"/>
        <v>Nivel del indicador que satisface y supera las expectativas</v>
      </c>
      <c r="L45" s="179">
        <v>5000000</v>
      </c>
      <c r="M45" s="207">
        <v>0.5</v>
      </c>
      <c r="N45" s="179">
        <v>4050953</v>
      </c>
      <c r="O45" s="179">
        <v>4050953</v>
      </c>
      <c r="P45" s="70">
        <f t="shared" si="6"/>
        <v>0</v>
      </c>
      <c r="Q45" s="59">
        <f t="shared" si="7"/>
        <v>1</v>
      </c>
      <c r="R45" s="55" t="str">
        <f t="shared" si="36"/>
        <v>Nivel del indicador que satisface y supera las expectativas</v>
      </c>
      <c r="S45" s="217">
        <v>6300000</v>
      </c>
      <c r="T45" s="215">
        <v>0.75</v>
      </c>
      <c r="U45" s="248">
        <f t="shared" si="19"/>
        <v>4725000</v>
      </c>
      <c r="V45" s="248">
        <v>4050953</v>
      </c>
      <c r="W45" s="248">
        <f t="shared" si="8"/>
        <v>674047</v>
      </c>
      <c r="X45" s="59">
        <f t="shared" si="23"/>
        <v>0.85734455026455025</v>
      </c>
      <c r="Y45" s="249" t="str">
        <f t="shared" si="24"/>
        <v>Nivel del indicador que satisface y supera las expectativas</v>
      </c>
      <c r="Z45" s="70"/>
      <c r="AA45" s="70"/>
      <c r="AB45" s="70">
        <f t="shared" si="29"/>
        <v>0</v>
      </c>
      <c r="AC45" s="59" t="str">
        <f t="shared" si="30"/>
        <v/>
      </c>
      <c r="AD45" s="55" t="str">
        <f t="shared" si="31"/>
        <v/>
      </c>
      <c r="AH45" s="79">
        <f t="shared" si="32"/>
        <v>0.25019059999999999</v>
      </c>
      <c r="AI45" s="79">
        <f t="shared" si="33"/>
        <v>0.81019059999999998</v>
      </c>
      <c r="AJ45" s="79">
        <f t="shared" si="34"/>
        <v>0.64300841269841269</v>
      </c>
      <c r="AK45" s="79">
        <f t="shared" si="35"/>
        <v>0</v>
      </c>
    </row>
    <row r="46" spans="1:37" ht="75" x14ac:dyDescent="0.25">
      <c r="A46" s="57" t="s">
        <v>309</v>
      </c>
      <c r="B46" s="57" t="s">
        <v>318</v>
      </c>
      <c r="C46" s="54" t="s">
        <v>319</v>
      </c>
      <c r="D46" s="58" t="s">
        <v>368</v>
      </c>
      <c r="E46" s="120">
        <v>345592885</v>
      </c>
      <c r="F46" s="207">
        <v>0.25</v>
      </c>
      <c r="G46" s="121">
        <v>92713307</v>
      </c>
      <c r="H46" s="121">
        <v>92713307</v>
      </c>
      <c r="I46" s="67">
        <f t="shared" si="5"/>
        <v>0</v>
      </c>
      <c r="J46" s="68">
        <f t="shared" si="0"/>
        <v>1</v>
      </c>
      <c r="K46" s="55" t="str">
        <f t="shared" si="1"/>
        <v>Nivel del indicador que satisface y supera las expectativas</v>
      </c>
      <c r="L46" s="179">
        <v>345592885</v>
      </c>
      <c r="M46" s="207">
        <v>0.5</v>
      </c>
      <c r="N46" s="179">
        <v>178958518</v>
      </c>
      <c r="O46" s="179">
        <v>178958518</v>
      </c>
      <c r="P46" s="70">
        <f t="shared" si="6"/>
        <v>0</v>
      </c>
      <c r="Q46" s="59">
        <f t="shared" si="7"/>
        <v>1</v>
      </c>
      <c r="R46" s="55" t="str">
        <f t="shared" si="36"/>
        <v>Nivel del indicador que satisface y supera las expectativas</v>
      </c>
      <c r="S46" s="217">
        <v>395514256</v>
      </c>
      <c r="T46" s="215">
        <v>0.75</v>
      </c>
      <c r="U46" s="248">
        <f t="shared" si="19"/>
        <v>296635692</v>
      </c>
      <c r="V46" s="248">
        <v>253009593</v>
      </c>
      <c r="W46" s="248">
        <f t="shared" si="8"/>
        <v>43626099</v>
      </c>
      <c r="X46" s="59">
        <f t="shared" si="23"/>
        <v>0.85293037831738738</v>
      </c>
      <c r="Y46" s="249" t="str">
        <f t="shared" si="24"/>
        <v>Nivel del indicador que satisface y supera las expectativas</v>
      </c>
      <c r="Z46" s="70"/>
      <c r="AA46" s="70"/>
      <c r="AB46" s="70">
        <f t="shared" si="29"/>
        <v>0</v>
      </c>
      <c r="AC46" s="59" t="str">
        <f t="shared" si="30"/>
        <v/>
      </c>
      <c r="AD46" s="55" t="str">
        <f t="shared" si="31"/>
        <v/>
      </c>
      <c r="AH46" s="79">
        <f t="shared" si="32"/>
        <v>0.26827319376091902</v>
      </c>
      <c r="AI46" s="79">
        <f t="shared" si="33"/>
        <v>0.51783044665401601</v>
      </c>
      <c r="AJ46" s="79">
        <f t="shared" si="34"/>
        <v>0.63969778373804054</v>
      </c>
      <c r="AK46" s="79">
        <f t="shared" si="35"/>
        <v>0</v>
      </c>
    </row>
    <row r="47" spans="1:37" ht="45" x14ac:dyDescent="0.25">
      <c r="A47" s="57" t="s">
        <v>309</v>
      </c>
      <c r="B47" s="57" t="s">
        <v>320</v>
      </c>
      <c r="C47" s="54" t="s">
        <v>321</v>
      </c>
      <c r="D47" s="58" t="s">
        <v>369</v>
      </c>
      <c r="E47" s="120">
        <v>3000000</v>
      </c>
      <c r="F47" s="207">
        <v>0.25</v>
      </c>
      <c r="G47" s="116">
        <f t="shared" si="4"/>
        <v>750000</v>
      </c>
      <c r="H47" s="121">
        <v>0.1</v>
      </c>
      <c r="I47" s="67">
        <f t="shared" si="5"/>
        <v>749999.9</v>
      </c>
      <c r="J47" s="68">
        <f t="shared" si="0"/>
        <v>1.3333333333333334E-7</v>
      </c>
      <c r="K47" s="55" t="str">
        <f t="shared" si="1"/>
        <v>Se ha avanzado muy poco o nada en este indicador</v>
      </c>
      <c r="L47" s="179">
        <v>3000000</v>
      </c>
      <c r="M47" s="207">
        <v>0.5</v>
      </c>
      <c r="N47" s="116">
        <f t="shared" si="22"/>
        <v>1500000</v>
      </c>
      <c r="O47" s="179">
        <v>0.1</v>
      </c>
      <c r="P47" s="70">
        <f t="shared" si="6"/>
        <v>1499999.9</v>
      </c>
      <c r="Q47" s="59">
        <f t="shared" si="7"/>
        <v>6.6666666666666668E-8</v>
      </c>
      <c r="R47" s="55" t="str">
        <f t="shared" ref="R47:R61" si="46">IF(AND(L47&gt;0,O47=""),"¡¡Ojo No se Ejecuto Presupuesto!!",IF(Q47=0%,"",IF(Q47&lt;16%,"Se ha avanzado muy poco o nada en este indicador",IF(Q47&lt;=37%,"Nivel Aceptable del Indicador",IF(Q47&lt;=50%,"Nivel del indicador que cumple las expectativas","Nivel del indicador que satisface y supera las expectativas")))))</f>
        <v>Se ha avanzado muy poco o nada en este indicador</v>
      </c>
      <c r="S47" s="217">
        <v>3000000</v>
      </c>
      <c r="T47" s="215">
        <v>0.75</v>
      </c>
      <c r="U47" s="248">
        <f t="shared" si="19"/>
        <v>2250000</v>
      </c>
      <c r="V47" s="248">
        <v>0</v>
      </c>
      <c r="W47" s="248">
        <f t="shared" si="8"/>
        <v>2250000</v>
      </c>
      <c r="X47" s="59">
        <f t="shared" si="23"/>
        <v>0</v>
      </c>
      <c r="Y47" s="249" t="str">
        <f t="shared" si="24"/>
        <v>Se ha avanzado muy poco o nada en este indicador</v>
      </c>
      <c r="Z47" s="70"/>
      <c r="AA47" s="70"/>
      <c r="AB47" s="70">
        <f t="shared" si="29"/>
        <v>0</v>
      </c>
      <c r="AC47" s="59" t="str">
        <f t="shared" si="30"/>
        <v/>
      </c>
      <c r="AD47" s="55" t="str">
        <f t="shared" si="31"/>
        <v/>
      </c>
      <c r="AH47" s="79">
        <f t="shared" si="32"/>
        <v>3.3333333333333334E-8</v>
      </c>
      <c r="AI47" s="79">
        <f t="shared" si="33"/>
        <v>3.3333333333333334E-8</v>
      </c>
      <c r="AJ47" s="79">
        <f t="shared" si="34"/>
        <v>0</v>
      </c>
      <c r="AK47" s="79">
        <f t="shared" si="35"/>
        <v>0</v>
      </c>
    </row>
    <row r="48" spans="1:37" ht="37.5" customHeight="1" x14ac:dyDescent="0.25">
      <c r="A48" s="57" t="s">
        <v>309</v>
      </c>
      <c r="B48" s="57" t="s">
        <v>322</v>
      </c>
      <c r="C48" s="54" t="s">
        <v>323</v>
      </c>
      <c r="D48" s="58" t="s">
        <v>363</v>
      </c>
      <c r="E48" s="120">
        <v>177160459</v>
      </c>
      <c r="F48" s="207">
        <v>0.25</v>
      </c>
      <c r="G48" s="116">
        <f t="shared" si="4"/>
        <v>44290114.75</v>
      </c>
      <c r="H48" s="121">
        <v>31960051</v>
      </c>
      <c r="I48" s="67">
        <f t="shared" si="5"/>
        <v>12330063.75</v>
      </c>
      <c r="J48" s="68">
        <f t="shared" si="0"/>
        <v>0.72160686826850007</v>
      </c>
      <c r="K48" s="55" t="str">
        <f t="shared" si="1"/>
        <v>Nivel del indicador que satisface y supera las expectativas</v>
      </c>
      <c r="L48" s="179">
        <v>218517126</v>
      </c>
      <c r="M48" s="207">
        <v>0.5</v>
      </c>
      <c r="N48" s="116">
        <v>60000000</v>
      </c>
      <c r="O48" s="179">
        <v>54122862</v>
      </c>
      <c r="P48" s="70">
        <f t="shared" si="6"/>
        <v>5877138</v>
      </c>
      <c r="Q48" s="59">
        <f t="shared" si="7"/>
        <v>0.90204770000000001</v>
      </c>
      <c r="R48" s="55" t="str">
        <f t="shared" si="46"/>
        <v>Nivel del indicador que satisface y supera las expectativas</v>
      </c>
      <c r="S48" s="217">
        <v>207517126</v>
      </c>
      <c r="T48" s="215">
        <v>0.75</v>
      </c>
      <c r="U48" s="248">
        <f>+S48*T48*0.8</f>
        <v>124510275.60000001</v>
      </c>
      <c r="V48" s="248">
        <v>92151702</v>
      </c>
      <c r="W48" s="248">
        <f t="shared" si="8"/>
        <v>32358573.600000009</v>
      </c>
      <c r="X48" s="59">
        <f t="shared" si="23"/>
        <v>0.74011322805231983</v>
      </c>
      <c r="Y48" s="249" t="str">
        <f t="shared" si="24"/>
        <v>Nivel del indicador que cumple las expectativas</v>
      </c>
      <c r="Z48" s="70"/>
      <c r="AA48" s="70"/>
      <c r="AB48" s="70">
        <f t="shared" si="29"/>
        <v>0</v>
      </c>
      <c r="AC48" s="59" t="str">
        <f t="shared" si="30"/>
        <v/>
      </c>
      <c r="AD48" s="55" t="str">
        <f t="shared" si="31"/>
        <v/>
      </c>
      <c r="AH48" s="79">
        <f t="shared" si="32"/>
        <v>0.18040171706712502</v>
      </c>
      <c r="AI48" s="79">
        <f t="shared" si="33"/>
        <v>0.24768247226535461</v>
      </c>
      <c r="AJ48" s="79">
        <f t="shared" si="34"/>
        <v>0.44406793683139195</v>
      </c>
      <c r="AK48" s="79">
        <f t="shared" si="35"/>
        <v>0</v>
      </c>
    </row>
    <row r="49" spans="1:37" ht="45" x14ac:dyDescent="0.25">
      <c r="A49" s="57" t="s">
        <v>324</v>
      </c>
      <c r="B49" s="57" t="s">
        <v>325</v>
      </c>
      <c r="C49" s="54" t="s">
        <v>326</v>
      </c>
      <c r="D49" s="58" t="s">
        <v>363</v>
      </c>
      <c r="E49" s="120">
        <v>58288573</v>
      </c>
      <c r="F49" s="207">
        <v>0.25</v>
      </c>
      <c r="G49" s="116">
        <f t="shared" si="4"/>
        <v>14572143.25</v>
      </c>
      <c r="H49" s="121">
        <v>1801864</v>
      </c>
      <c r="I49" s="67">
        <f t="shared" si="5"/>
        <v>12770279.25</v>
      </c>
      <c r="J49" s="68">
        <f t="shared" si="0"/>
        <v>0.12365126866289898</v>
      </c>
      <c r="K49" s="55" t="str">
        <f t="shared" si="1"/>
        <v>Nivel Aceptable del Indicador</v>
      </c>
      <c r="L49" s="179">
        <v>58288573</v>
      </c>
      <c r="M49" s="207">
        <v>0.5</v>
      </c>
      <c r="N49" s="116">
        <f t="shared" si="22"/>
        <v>29144286.5</v>
      </c>
      <c r="O49" s="179">
        <v>21928945</v>
      </c>
      <c r="P49" s="70">
        <f t="shared" si="6"/>
        <v>7215341.5</v>
      </c>
      <c r="Q49" s="59">
        <f t="shared" si="7"/>
        <v>0.75242689506226201</v>
      </c>
      <c r="R49" s="55" t="str">
        <f t="shared" si="46"/>
        <v>Nivel del indicador que satisface y supera las expectativas</v>
      </c>
      <c r="S49" s="217">
        <v>58288573</v>
      </c>
      <c r="T49" s="215">
        <v>0.75</v>
      </c>
      <c r="U49" s="248">
        <f t="shared" si="19"/>
        <v>43716429.75</v>
      </c>
      <c r="V49" s="248">
        <v>34563569</v>
      </c>
      <c r="W49" s="248">
        <f t="shared" si="8"/>
        <v>9152860.75</v>
      </c>
      <c r="X49" s="59">
        <f t="shared" si="23"/>
        <v>0.79063110134239634</v>
      </c>
      <c r="Y49" s="249" t="str">
        <f t="shared" si="24"/>
        <v>Nivel del indicador que satisface y supera las expectativas</v>
      </c>
      <c r="Z49" s="70"/>
      <c r="AA49" s="70"/>
      <c r="AB49" s="70">
        <f t="shared" si="29"/>
        <v>0</v>
      </c>
      <c r="AC49" s="59" t="str">
        <f t="shared" si="30"/>
        <v/>
      </c>
      <c r="AD49" s="55" t="str">
        <f t="shared" si="31"/>
        <v/>
      </c>
      <c r="AH49" s="79">
        <f t="shared" si="32"/>
        <v>3.0912817165724745E-2</v>
      </c>
      <c r="AI49" s="79">
        <f t="shared" si="33"/>
        <v>0.37621344753113101</v>
      </c>
      <c r="AJ49" s="79">
        <f t="shared" si="34"/>
        <v>0.5929733260067972</v>
      </c>
      <c r="AK49" s="79">
        <f t="shared" si="35"/>
        <v>0</v>
      </c>
    </row>
    <row r="50" spans="1:37" ht="45" x14ac:dyDescent="0.25">
      <c r="A50" s="57" t="s">
        <v>324</v>
      </c>
      <c r="B50" s="57" t="s">
        <v>327</v>
      </c>
      <c r="C50" s="54" t="s">
        <v>328</v>
      </c>
      <c r="D50" s="58" t="s">
        <v>370</v>
      </c>
      <c r="E50" s="120">
        <v>219164005</v>
      </c>
      <c r="F50" s="207">
        <v>0.25</v>
      </c>
      <c r="G50" s="116">
        <f t="shared" si="4"/>
        <v>54791001.25</v>
      </c>
      <c r="H50" s="121">
        <v>500000</v>
      </c>
      <c r="I50" s="67">
        <f t="shared" si="5"/>
        <v>54291001.25</v>
      </c>
      <c r="J50" s="68">
        <f t="shared" si="0"/>
        <v>9.1255861107301817E-3</v>
      </c>
      <c r="K50" s="55" t="str">
        <f t="shared" si="1"/>
        <v>Se ha avanzado muy poco o nada en este indicador</v>
      </c>
      <c r="L50" s="179">
        <v>209164005</v>
      </c>
      <c r="M50" s="207">
        <v>0.5</v>
      </c>
      <c r="N50" s="116">
        <v>30000000</v>
      </c>
      <c r="O50" s="179">
        <v>26924087</v>
      </c>
      <c r="P50" s="70">
        <f t="shared" si="6"/>
        <v>3075913</v>
      </c>
      <c r="Q50" s="59">
        <f t="shared" si="7"/>
        <v>0.89746956666666666</v>
      </c>
      <c r="R50" s="55" t="str">
        <f t="shared" si="46"/>
        <v>Nivel del indicador que satisface y supera las expectativas</v>
      </c>
      <c r="S50" s="217">
        <v>209164005</v>
      </c>
      <c r="T50" s="215">
        <v>0.75</v>
      </c>
      <c r="U50" s="248">
        <f>+S50*T50*0.8</f>
        <v>125498403</v>
      </c>
      <c r="V50" s="248">
        <v>66114283</v>
      </c>
      <c r="W50" s="248">
        <f t="shared" si="8"/>
        <v>59384120</v>
      </c>
      <c r="X50" s="59">
        <f t="shared" si="23"/>
        <v>0.52681373961388178</v>
      </c>
      <c r="Y50" s="249" t="str">
        <f t="shared" si="24"/>
        <v>Nivel Aceptable del Indicador</v>
      </c>
      <c r="Z50" s="70"/>
      <c r="AA50" s="70"/>
      <c r="AB50" s="70">
        <f t="shared" si="29"/>
        <v>0</v>
      </c>
      <c r="AC50" s="59" t="str">
        <f t="shared" si="30"/>
        <v/>
      </c>
      <c r="AD50" s="55" t="str">
        <f t="shared" si="31"/>
        <v/>
      </c>
      <c r="AH50" s="79">
        <f t="shared" si="32"/>
        <v>2.2813965276825454E-3</v>
      </c>
      <c r="AI50" s="79">
        <f t="shared" si="33"/>
        <v>0.12872237266636771</v>
      </c>
      <c r="AJ50" s="79">
        <f t="shared" si="34"/>
        <v>0.31608824376832906</v>
      </c>
      <c r="AK50" s="79">
        <f t="shared" si="35"/>
        <v>0</v>
      </c>
    </row>
    <row r="51" spans="1:37" ht="25.5" x14ac:dyDescent="0.25">
      <c r="A51" s="57" t="s">
        <v>324</v>
      </c>
      <c r="B51" s="57" t="s">
        <v>329</v>
      </c>
      <c r="C51" s="54" t="s">
        <v>330</v>
      </c>
      <c r="D51" s="58" t="s">
        <v>363</v>
      </c>
      <c r="E51" s="120">
        <v>114496542</v>
      </c>
      <c r="F51" s="207">
        <v>0.25</v>
      </c>
      <c r="G51" s="116">
        <f t="shared" si="4"/>
        <v>28624135.5</v>
      </c>
      <c r="H51" s="121">
        <v>17843081</v>
      </c>
      <c r="I51" s="67">
        <f t="shared" si="5"/>
        <v>10781054.5</v>
      </c>
      <c r="J51" s="68">
        <f t="shared" si="0"/>
        <v>0.62335790018881099</v>
      </c>
      <c r="K51" s="55" t="str">
        <f t="shared" si="1"/>
        <v>Nivel del indicador que satisface y supera las expectativas</v>
      </c>
      <c r="L51" s="179">
        <v>114496542</v>
      </c>
      <c r="M51" s="207">
        <v>0.5</v>
      </c>
      <c r="N51" s="116">
        <v>18000000</v>
      </c>
      <c r="O51" s="179">
        <v>17843081</v>
      </c>
      <c r="P51" s="70">
        <f t="shared" si="6"/>
        <v>156919</v>
      </c>
      <c r="Q51" s="59">
        <f t="shared" si="7"/>
        <v>0.99128227777777778</v>
      </c>
      <c r="R51" s="55" t="str">
        <f t="shared" si="46"/>
        <v>Nivel del indicador que satisface y supera las expectativas</v>
      </c>
      <c r="S51" s="217">
        <v>114496542</v>
      </c>
      <c r="T51" s="215">
        <v>0.75</v>
      </c>
      <c r="U51" s="250">
        <f>+S51*T51*0.6</f>
        <v>51523443.899999999</v>
      </c>
      <c r="V51" s="248">
        <v>17843081</v>
      </c>
      <c r="W51" s="248">
        <f t="shared" si="8"/>
        <v>33680362.899999999</v>
      </c>
      <c r="X51" s="59">
        <f t="shared" si="23"/>
        <v>0.34630994454933944</v>
      </c>
      <c r="Y51" s="249" t="str">
        <f t="shared" si="24"/>
        <v>Nivel Aceptable del Indicador</v>
      </c>
      <c r="Z51" s="70"/>
      <c r="AA51" s="70"/>
      <c r="AB51" s="70">
        <f t="shared" si="29"/>
        <v>0</v>
      </c>
      <c r="AC51" s="59" t="str">
        <f t="shared" si="30"/>
        <v/>
      </c>
      <c r="AD51" s="55" t="str">
        <f t="shared" si="31"/>
        <v/>
      </c>
      <c r="AH51" s="79">
        <f t="shared" si="32"/>
        <v>0.15583947504720275</v>
      </c>
      <c r="AI51" s="79">
        <f t="shared" si="33"/>
        <v>0.15583947504720275</v>
      </c>
      <c r="AJ51" s="79">
        <f t="shared" si="34"/>
        <v>0.15583947504720275</v>
      </c>
      <c r="AK51" s="79">
        <f t="shared" si="35"/>
        <v>0</v>
      </c>
    </row>
    <row r="52" spans="1:37" ht="30" x14ac:dyDescent="0.25">
      <c r="A52" s="57" t="s">
        <v>324</v>
      </c>
      <c r="B52" s="57" t="s">
        <v>331</v>
      </c>
      <c r="C52" s="54" t="s">
        <v>332</v>
      </c>
      <c r="D52" s="58" t="s">
        <v>371</v>
      </c>
      <c r="E52" s="120">
        <v>4263384</v>
      </c>
      <c r="F52" s="207">
        <v>0.25</v>
      </c>
      <c r="G52" s="116">
        <f t="shared" si="4"/>
        <v>1065846</v>
      </c>
      <c r="H52" s="121">
        <v>310000</v>
      </c>
      <c r="I52" s="67">
        <f t="shared" si="5"/>
        <v>755846</v>
      </c>
      <c r="J52" s="68">
        <f t="shared" si="0"/>
        <v>0.29084877177378343</v>
      </c>
      <c r="K52" s="55" t="str">
        <f t="shared" si="1"/>
        <v>Nivel del indicador que satisface y supera las expectativas</v>
      </c>
      <c r="L52" s="179">
        <v>5668527</v>
      </c>
      <c r="M52" s="207">
        <v>0.5</v>
      </c>
      <c r="N52" s="116">
        <f t="shared" si="22"/>
        <v>2834263.5</v>
      </c>
      <c r="O52" s="179">
        <v>310000</v>
      </c>
      <c r="P52" s="70">
        <f t="shared" si="6"/>
        <v>2524263.5</v>
      </c>
      <c r="Q52" s="59">
        <f t="shared" si="7"/>
        <v>0.10937585725533282</v>
      </c>
      <c r="R52" s="55" t="str">
        <f t="shared" si="46"/>
        <v>Se ha avanzado muy poco o nada en este indicador</v>
      </c>
      <c r="S52" s="217">
        <v>5668527</v>
      </c>
      <c r="T52" s="215">
        <v>0.75</v>
      </c>
      <c r="U52" s="250">
        <f>+S52*T52*0.1</f>
        <v>425139.52500000002</v>
      </c>
      <c r="V52" s="248">
        <v>310000</v>
      </c>
      <c r="W52" s="248">
        <f t="shared" si="8"/>
        <v>115139.52500000002</v>
      </c>
      <c r="X52" s="59">
        <f t="shared" si="23"/>
        <v>0.72917238170221876</v>
      </c>
      <c r="Y52" s="249" t="str">
        <f t="shared" si="24"/>
        <v>Nivel del indicador que cumple las expectativas</v>
      </c>
      <c r="Z52" s="70"/>
      <c r="AA52" s="70"/>
      <c r="AB52" s="70">
        <f t="shared" si="29"/>
        <v>0</v>
      </c>
      <c r="AC52" s="59" t="str">
        <f t="shared" si="30"/>
        <v/>
      </c>
      <c r="AD52" s="55" t="str">
        <f t="shared" si="31"/>
        <v/>
      </c>
      <c r="AH52" s="79">
        <f t="shared" si="32"/>
        <v>7.2712192943445858E-2</v>
      </c>
      <c r="AI52" s="79">
        <f t="shared" si="33"/>
        <v>5.4687928627666409E-2</v>
      </c>
      <c r="AJ52" s="79">
        <f t="shared" si="34"/>
        <v>5.4687928627666409E-2</v>
      </c>
      <c r="AK52" s="79">
        <f t="shared" si="35"/>
        <v>0</v>
      </c>
    </row>
    <row r="53" spans="1:37" ht="30" x14ac:dyDescent="0.25">
      <c r="A53" s="57" t="s">
        <v>324</v>
      </c>
      <c r="B53" s="57" t="s">
        <v>389</v>
      </c>
      <c r="C53" s="54" t="s">
        <v>557</v>
      </c>
      <c r="D53" s="58" t="s">
        <v>371</v>
      </c>
      <c r="E53" s="120">
        <v>107531670</v>
      </c>
      <c r="F53" s="207">
        <v>0.25</v>
      </c>
      <c r="G53" s="116">
        <f t="shared" si="4"/>
        <v>26882917.5</v>
      </c>
      <c r="H53" s="121">
        <v>0.1</v>
      </c>
      <c r="I53" s="67">
        <f t="shared" si="5"/>
        <v>26882917.399999999</v>
      </c>
      <c r="J53" s="68">
        <f t="shared" si="0"/>
        <v>3.7198343520564687E-9</v>
      </c>
      <c r="K53" s="55" t="str">
        <f t="shared" ref="K53" si="47">IF(AND(E53&gt;0,H53=""),"¡¡Ojo No se Ejecuto Presupuesto!!",IF(J53=0%,"",IF(J53&lt;9%,"Se ha avanzado muy poco o nada en este indicador",IF(J53&lt;=20%,"Nivel Aceptable del Indicador",IF(J53&lt;=25%,"Nivel del indicador que cumple las expectativas","Nivel del indicador que satisface y supera las expectativas")))))</f>
        <v>Se ha avanzado muy poco o nada en este indicador</v>
      </c>
      <c r="L53" s="179">
        <v>107531670</v>
      </c>
      <c r="M53" s="207">
        <v>0.5</v>
      </c>
      <c r="N53" s="116">
        <f t="shared" si="22"/>
        <v>53765835</v>
      </c>
      <c r="O53" s="179">
        <v>0.1</v>
      </c>
      <c r="P53" s="70">
        <f t="shared" si="6"/>
        <v>53765834.899999999</v>
      </c>
      <c r="Q53" s="59">
        <f t="shared" si="7"/>
        <v>1.8599171760282344E-9</v>
      </c>
      <c r="R53" s="55" t="str">
        <f t="shared" si="46"/>
        <v>Se ha avanzado muy poco o nada en este indicador</v>
      </c>
      <c r="S53" s="217">
        <v>107531670</v>
      </c>
      <c r="T53" s="215">
        <v>0.75</v>
      </c>
      <c r="U53" s="250">
        <f>+S53*T53*0.7</f>
        <v>56454126.75</v>
      </c>
      <c r="V53" s="248">
        <v>21188439</v>
      </c>
      <c r="W53" s="248">
        <f t="shared" si="8"/>
        <v>35265687.75</v>
      </c>
      <c r="X53" s="59">
        <f t="shared" si="23"/>
        <v>0.3753213488507286</v>
      </c>
      <c r="Y53" s="249" t="str">
        <f t="shared" si="24"/>
        <v>Nivel Aceptable del Indicador</v>
      </c>
      <c r="Z53" s="70"/>
      <c r="AA53" s="70"/>
      <c r="AB53" s="70">
        <f t="shared" ref="AB53" si="48">Z53-AA53</f>
        <v>0</v>
      </c>
      <c r="AC53" s="59" t="str">
        <f t="shared" ref="AC53" si="49">IF(AB53&gt;0,AA53/Z53,"")</f>
        <v/>
      </c>
      <c r="AD53" s="55" t="str">
        <f t="shared" ref="AD53" si="50">IF(AND(Z53&gt;0,AA53=""),"¡¡Ojo No se Ejecuto Presupuesto!!",IF(AC53="","",IF(AC53&lt;33.99%,"Se ha avanzado muy poco o nada en este indicador",IF(AC53&lt;=75.99%,"Nivel Aceptable del Indicador",IF(AC53&lt;=98.99%,"Nivel del indicador que cumple las expectativas","Nivel del indicador que satisface y supera las expectativas")))))</f>
        <v/>
      </c>
      <c r="AH53" s="79">
        <f t="shared" ref="AH53" si="51">IFERROR((H53/E53),0)</f>
        <v>9.2995858801411718E-10</v>
      </c>
      <c r="AI53" s="79">
        <f t="shared" ref="AI53" si="52">IFERROR((O53/L53),0)</f>
        <v>9.2995858801411718E-10</v>
      </c>
      <c r="AJ53" s="79">
        <f t="shared" ref="AJ53" si="53">IFERROR((V53/S53),0)</f>
        <v>0.19704370814663252</v>
      </c>
      <c r="AK53" s="79">
        <f t="shared" ref="AK53" si="54">IFERROR((AA53/Z53),0)</f>
        <v>0</v>
      </c>
    </row>
    <row r="54" spans="1:37" ht="30" x14ac:dyDescent="0.25">
      <c r="A54" s="57" t="s">
        <v>333</v>
      </c>
      <c r="B54" s="57" t="s">
        <v>334</v>
      </c>
      <c r="C54" s="54" t="s">
        <v>335</v>
      </c>
      <c r="D54" s="58" t="s">
        <v>363</v>
      </c>
      <c r="E54" s="120">
        <v>400033334</v>
      </c>
      <c r="F54" s="207">
        <v>0.25</v>
      </c>
      <c r="G54" s="116">
        <f t="shared" si="4"/>
        <v>100008333.5</v>
      </c>
      <c r="H54" s="121">
        <v>0.1</v>
      </c>
      <c r="I54" s="67">
        <f t="shared" si="5"/>
        <v>100008333.40000001</v>
      </c>
      <c r="J54" s="68">
        <f t="shared" si="0"/>
        <v>9.9991667194414353E-10</v>
      </c>
      <c r="K54" s="55" t="str">
        <f t="shared" si="1"/>
        <v>Se ha avanzado muy poco o nada en este indicador</v>
      </c>
      <c r="L54" s="179">
        <v>400033334</v>
      </c>
      <c r="M54" s="207">
        <v>0.5</v>
      </c>
      <c r="N54" s="116">
        <f t="shared" si="22"/>
        <v>200016667</v>
      </c>
      <c r="O54" s="179">
        <v>128908945</v>
      </c>
      <c r="P54" s="70">
        <f t="shared" si="6"/>
        <v>71107722</v>
      </c>
      <c r="Q54" s="59">
        <f t="shared" si="7"/>
        <v>0.64449101634115324</v>
      </c>
      <c r="R54" s="55" t="str">
        <f t="shared" si="46"/>
        <v>Nivel del indicador que satisface y supera las expectativas</v>
      </c>
      <c r="S54" s="217">
        <v>400033334</v>
      </c>
      <c r="T54" s="215">
        <v>0.75</v>
      </c>
      <c r="U54" s="248">
        <f t="shared" si="19"/>
        <v>300025000.5</v>
      </c>
      <c r="V54" s="248">
        <v>200449803</v>
      </c>
      <c r="W54" s="248">
        <f t="shared" si="8"/>
        <v>99575197.5</v>
      </c>
      <c r="X54" s="59">
        <f t="shared" si="23"/>
        <v>0.66811033302539735</v>
      </c>
      <c r="Y54" s="249" t="str">
        <f t="shared" si="24"/>
        <v>Nivel del indicador que cumple las expectativas</v>
      </c>
      <c r="Z54" s="70"/>
      <c r="AA54" s="70"/>
      <c r="AB54" s="70">
        <f t="shared" si="29"/>
        <v>0</v>
      </c>
      <c r="AC54" s="59" t="str">
        <f t="shared" si="30"/>
        <v/>
      </c>
      <c r="AD54" s="55" t="str">
        <f t="shared" si="31"/>
        <v/>
      </c>
      <c r="AH54" s="79">
        <f t="shared" si="32"/>
        <v>2.4997916798603588E-10</v>
      </c>
      <c r="AI54" s="79">
        <f t="shared" si="33"/>
        <v>0.32224550817057662</v>
      </c>
      <c r="AJ54" s="79">
        <f t="shared" si="34"/>
        <v>0.50108274976904799</v>
      </c>
      <c r="AK54" s="79">
        <f t="shared" si="35"/>
        <v>0</v>
      </c>
    </row>
    <row r="55" spans="1:37" ht="45" x14ac:dyDescent="0.25">
      <c r="A55" s="57" t="s">
        <v>336</v>
      </c>
      <c r="B55" s="57" t="s">
        <v>337</v>
      </c>
      <c r="C55" s="54" t="s">
        <v>338</v>
      </c>
      <c r="D55" s="58" t="s">
        <v>363</v>
      </c>
      <c r="E55" s="120">
        <v>3500000000</v>
      </c>
      <c r="F55" s="207">
        <v>0.25</v>
      </c>
      <c r="G55" s="116">
        <f t="shared" si="4"/>
        <v>875000000</v>
      </c>
      <c r="H55" s="121">
        <v>589911978</v>
      </c>
      <c r="I55" s="67">
        <f t="shared" si="5"/>
        <v>285088022</v>
      </c>
      <c r="J55" s="68">
        <f t="shared" si="0"/>
        <v>0.67418511771428569</v>
      </c>
      <c r="K55" s="55" t="str">
        <f t="shared" si="1"/>
        <v>Nivel del indicador que satisface y supera las expectativas</v>
      </c>
      <c r="L55" s="179">
        <v>3500000000</v>
      </c>
      <c r="M55" s="207">
        <v>0.5</v>
      </c>
      <c r="N55" s="116">
        <v>800000000</v>
      </c>
      <c r="O55" s="179">
        <v>619170533</v>
      </c>
      <c r="P55" s="70">
        <f t="shared" si="6"/>
        <v>180829467</v>
      </c>
      <c r="Q55" s="59">
        <f t="shared" si="7"/>
        <v>0.77396316624999995</v>
      </c>
      <c r="R55" s="55" t="str">
        <f t="shared" si="46"/>
        <v>Nivel del indicador que satisface y supera las expectativas</v>
      </c>
      <c r="S55" s="217">
        <v>3500000000</v>
      </c>
      <c r="T55" s="215">
        <v>0.75</v>
      </c>
      <c r="U55" s="248">
        <v>1000000000</v>
      </c>
      <c r="V55" s="248">
        <v>795480285</v>
      </c>
      <c r="W55" s="248">
        <f t="shared" si="8"/>
        <v>204519715</v>
      </c>
      <c r="X55" s="59">
        <f t="shared" si="23"/>
        <v>0.79548028500000001</v>
      </c>
      <c r="Y55" s="249" t="str">
        <f t="shared" si="24"/>
        <v>Nivel del indicador que satisface y supera las expectativas</v>
      </c>
      <c r="Z55" s="70"/>
      <c r="AA55" s="70"/>
      <c r="AB55" s="70">
        <f t="shared" si="29"/>
        <v>0</v>
      </c>
      <c r="AC55" s="59" t="str">
        <f t="shared" si="30"/>
        <v/>
      </c>
      <c r="AD55" s="55" t="str">
        <f t="shared" si="31"/>
        <v/>
      </c>
      <c r="AH55" s="79">
        <f t="shared" si="32"/>
        <v>0.16854627942857142</v>
      </c>
      <c r="AI55" s="79">
        <f t="shared" si="33"/>
        <v>0.17690586657142857</v>
      </c>
      <c r="AJ55" s="79">
        <f t="shared" si="34"/>
        <v>0.22728008142857142</v>
      </c>
      <c r="AK55" s="79">
        <f t="shared" si="35"/>
        <v>0</v>
      </c>
    </row>
    <row r="56" spans="1:37" ht="30" x14ac:dyDescent="0.25">
      <c r="A56" s="57" t="s">
        <v>336</v>
      </c>
      <c r="B56" s="57" t="s">
        <v>339</v>
      </c>
      <c r="C56" s="54" t="s">
        <v>340</v>
      </c>
      <c r="D56" s="58" t="s">
        <v>363</v>
      </c>
      <c r="E56" s="120">
        <v>779225925</v>
      </c>
      <c r="F56" s="207">
        <v>0.25</v>
      </c>
      <c r="G56" s="116">
        <f t="shared" si="4"/>
        <v>194806481.25</v>
      </c>
      <c r="H56" s="121">
        <v>357088</v>
      </c>
      <c r="I56" s="67">
        <f t="shared" si="5"/>
        <v>194449393.25</v>
      </c>
      <c r="J56" s="68">
        <f t="shared" si="0"/>
        <v>1.8330396283978874E-3</v>
      </c>
      <c r="K56" s="55" t="str">
        <f t="shared" si="1"/>
        <v>Se ha avanzado muy poco o nada en este indicador</v>
      </c>
      <c r="L56" s="179">
        <v>779225925</v>
      </c>
      <c r="M56" s="207">
        <v>0.5</v>
      </c>
      <c r="N56" s="116">
        <v>150000000</v>
      </c>
      <c r="O56" s="179">
        <v>2157088</v>
      </c>
      <c r="P56" s="70">
        <f t="shared" si="6"/>
        <v>147842912</v>
      </c>
      <c r="Q56" s="59">
        <f t="shared" si="7"/>
        <v>1.4380586666666667E-2</v>
      </c>
      <c r="R56" s="55" t="str">
        <f t="shared" si="46"/>
        <v>Se ha avanzado muy poco o nada en este indicador</v>
      </c>
      <c r="S56" s="217">
        <v>779225925</v>
      </c>
      <c r="T56" s="215">
        <v>0.75</v>
      </c>
      <c r="U56" s="250">
        <f>+S56*T56*0.6</f>
        <v>350651666.25</v>
      </c>
      <c r="V56" s="248">
        <v>34749567</v>
      </c>
      <c r="W56" s="248">
        <f t="shared" si="8"/>
        <v>315902099.25</v>
      </c>
      <c r="X56" s="59">
        <f t="shared" si="23"/>
        <v>9.9099962568622191E-2</v>
      </c>
      <c r="Y56" s="249" t="str">
        <f t="shared" si="24"/>
        <v>Se ha avanzado muy poco o nada en este indicador</v>
      </c>
      <c r="Z56" s="70"/>
      <c r="AA56" s="70"/>
      <c r="AB56" s="70">
        <f t="shared" si="29"/>
        <v>0</v>
      </c>
      <c r="AC56" s="59" t="str">
        <f t="shared" si="30"/>
        <v/>
      </c>
      <c r="AD56" s="55" t="str">
        <f t="shared" si="31"/>
        <v/>
      </c>
      <c r="AH56" s="79">
        <f t="shared" si="32"/>
        <v>4.5825990709947185E-4</v>
      </c>
      <c r="AI56" s="79">
        <f t="shared" si="33"/>
        <v>2.7682446525377092E-3</v>
      </c>
      <c r="AJ56" s="79">
        <f t="shared" si="34"/>
        <v>4.4594983155879987E-2</v>
      </c>
      <c r="AK56" s="79">
        <f t="shared" si="35"/>
        <v>0</v>
      </c>
    </row>
    <row r="57" spans="1:37" ht="75" x14ac:dyDescent="0.25">
      <c r="A57" s="57" t="s">
        <v>341</v>
      </c>
      <c r="B57" s="57" t="s">
        <v>342</v>
      </c>
      <c r="C57" s="54" t="s">
        <v>343</v>
      </c>
      <c r="D57" s="58" t="s">
        <v>363</v>
      </c>
      <c r="E57" s="120">
        <v>5000000</v>
      </c>
      <c r="F57" s="207">
        <v>0.25</v>
      </c>
      <c r="G57" s="116">
        <f t="shared" si="4"/>
        <v>1250000</v>
      </c>
      <c r="H57" s="121">
        <v>0.1</v>
      </c>
      <c r="I57" s="67">
        <f t="shared" si="5"/>
        <v>1249999.8999999999</v>
      </c>
      <c r="J57" s="68">
        <f t="shared" si="0"/>
        <v>8.0000000000000002E-8</v>
      </c>
      <c r="K57" s="55" t="str">
        <f t="shared" si="1"/>
        <v>Se ha avanzado muy poco o nada en este indicador</v>
      </c>
      <c r="L57" s="179">
        <v>5000000</v>
      </c>
      <c r="M57" s="207">
        <v>0.5</v>
      </c>
      <c r="N57" s="116">
        <f t="shared" si="22"/>
        <v>2500000</v>
      </c>
      <c r="O57" s="179">
        <v>0.1</v>
      </c>
      <c r="P57" s="70">
        <f t="shared" si="6"/>
        <v>2499999.9</v>
      </c>
      <c r="Q57" s="59">
        <f t="shared" si="7"/>
        <v>4.0000000000000001E-8</v>
      </c>
      <c r="R57" s="55" t="str">
        <f t="shared" si="46"/>
        <v>Se ha avanzado muy poco o nada en este indicador</v>
      </c>
      <c r="S57" s="217">
        <v>5000000</v>
      </c>
      <c r="T57" s="215">
        <v>0.75</v>
      </c>
      <c r="U57" s="248">
        <v>5000000</v>
      </c>
      <c r="V57" s="248">
        <v>5000000</v>
      </c>
      <c r="W57" s="248">
        <f t="shared" si="8"/>
        <v>0</v>
      </c>
      <c r="X57" s="59">
        <f t="shared" si="23"/>
        <v>1</v>
      </c>
      <c r="Y57" s="249" t="str">
        <f t="shared" si="24"/>
        <v>Nivel del indicador que satisface y supera las expectativas</v>
      </c>
      <c r="Z57" s="70"/>
      <c r="AA57" s="70"/>
      <c r="AB57" s="70">
        <f t="shared" si="29"/>
        <v>0</v>
      </c>
      <c r="AC57" s="59" t="str">
        <f t="shared" si="30"/>
        <v/>
      </c>
      <c r="AD57" s="55" t="str">
        <f t="shared" si="31"/>
        <v/>
      </c>
      <c r="AH57" s="79">
        <f t="shared" si="32"/>
        <v>2E-8</v>
      </c>
      <c r="AI57" s="79">
        <f t="shared" si="33"/>
        <v>2E-8</v>
      </c>
      <c r="AJ57" s="79">
        <f t="shared" si="34"/>
        <v>1</v>
      </c>
      <c r="AK57" s="79">
        <f t="shared" si="35"/>
        <v>0</v>
      </c>
    </row>
    <row r="58" spans="1:37" ht="45" x14ac:dyDescent="0.25">
      <c r="A58" s="57" t="s">
        <v>341</v>
      </c>
      <c r="B58" s="57" t="s">
        <v>344</v>
      </c>
      <c r="C58" s="54" t="s">
        <v>345</v>
      </c>
      <c r="D58" s="58" t="s">
        <v>363</v>
      </c>
      <c r="E58" s="120">
        <v>20000000</v>
      </c>
      <c r="F58" s="207">
        <v>0.25</v>
      </c>
      <c r="G58" s="116">
        <f t="shared" si="4"/>
        <v>5000000</v>
      </c>
      <c r="H58" s="121">
        <v>0.1</v>
      </c>
      <c r="I58" s="67">
        <f t="shared" si="5"/>
        <v>4999999.9000000004</v>
      </c>
      <c r="J58" s="68">
        <f t="shared" si="0"/>
        <v>2E-8</v>
      </c>
      <c r="K58" s="55" t="str">
        <f t="shared" si="1"/>
        <v>Se ha avanzado muy poco o nada en este indicador</v>
      </c>
      <c r="L58" s="179">
        <v>20000000</v>
      </c>
      <c r="M58" s="207">
        <v>0.5</v>
      </c>
      <c r="N58" s="116">
        <f t="shared" si="22"/>
        <v>10000000</v>
      </c>
      <c r="O58" s="179">
        <v>0.1</v>
      </c>
      <c r="P58" s="70">
        <f t="shared" si="6"/>
        <v>9999999.9000000004</v>
      </c>
      <c r="Q58" s="59">
        <f t="shared" si="7"/>
        <v>1E-8</v>
      </c>
      <c r="R58" s="55" t="str">
        <f t="shared" si="46"/>
        <v>Se ha avanzado muy poco o nada en este indicador</v>
      </c>
      <c r="S58" s="217">
        <v>20000000</v>
      </c>
      <c r="T58" s="215">
        <v>0.75</v>
      </c>
      <c r="U58" s="248">
        <v>18900400</v>
      </c>
      <c r="V58" s="248">
        <v>18900400</v>
      </c>
      <c r="W58" s="248">
        <f t="shared" si="8"/>
        <v>0</v>
      </c>
      <c r="X58" s="59">
        <f t="shared" si="23"/>
        <v>1</v>
      </c>
      <c r="Y58" s="249" t="str">
        <f t="shared" si="24"/>
        <v>Nivel del indicador que satisface y supera las expectativas</v>
      </c>
      <c r="Z58" s="70"/>
      <c r="AA58" s="70"/>
      <c r="AB58" s="70">
        <f t="shared" si="29"/>
        <v>0</v>
      </c>
      <c r="AC58" s="59" t="str">
        <f t="shared" si="30"/>
        <v/>
      </c>
      <c r="AD58" s="55" t="str">
        <f t="shared" si="31"/>
        <v/>
      </c>
      <c r="AH58" s="79">
        <f t="shared" si="32"/>
        <v>5.0000000000000001E-9</v>
      </c>
      <c r="AI58" s="79">
        <f t="shared" si="33"/>
        <v>5.0000000000000001E-9</v>
      </c>
      <c r="AJ58" s="79">
        <f t="shared" si="34"/>
        <v>0.94501999999999997</v>
      </c>
      <c r="AK58" s="79">
        <f t="shared" si="35"/>
        <v>0</v>
      </c>
    </row>
    <row r="59" spans="1:37" ht="60" x14ac:dyDescent="0.25">
      <c r="A59" s="57" t="s">
        <v>346</v>
      </c>
      <c r="B59" s="57" t="s">
        <v>347</v>
      </c>
      <c r="C59" s="54" t="s">
        <v>348</v>
      </c>
      <c r="D59" s="58" t="s">
        <v>363</v>
      </c>
      <c r="E59" s="120">
        <v>2000000</v>
      </c>
      <c r="F59" s="207">
        <v>0.25</v>
      </c>
      <c r="G59" s="116">
        <f t="shared" si="4"/>
        <v>500000</v>
      </c>
      <c r="H59" s="121">
        <v>0.1</v>
      </c>
      <c r="I59" s="67">
        <f t="shared" si="5"/>
        <v>499999.9</v>
      </c>
      <c r="J59" s="68">
        <f t="shared" si="0"/>
        <v>2.0000000000000002E-7</v>
      </c>
      <c r="K59" s="55" t="str">
        <f t="shared" si="1"/>
        <v>Se ha avanzado muy poco o nada en este indicador</v>
      </c>
      <c r="L59" s="179">
        <v>2000000</v>
      </c>
      <c r="M59" s="207">
        <v>0.5</v>
      </c>
      <c r="N59" s="116">
        <f t="shared" si="22"/>
        <v>1000000</v>
      </c>
      <c r="O59" s="179">
        <v>0.1</v>
      </c>
      <c r="P59" s="70">
        <f t="shared" si="6"/>
        <v>999999.9</v>
      </c>
      <c r="Q59" s="59">
        <f t="shared" si="7"/>
        <v>1.0000000000000001E-7</v>
      </c>
      <c r="R59" s="55" t="str">
        <f t="shared" si="46"/>
        <v>Se ha avanzado muy poco o nada en este indicador</v>
      </c>
      <c r="S59" s="217">
        <v>2000000</v>
      </c>
      <c r="T59" s="215">
        <v>0.75</v>
      </c>
      <c r="U59" s="248">
        <v>2000000</v>
      </c>
      <c r="V59" s="248">
        <v>2000000</v>
      </c>
      <c r="W59" s="248">
        <f t="shared" si="8"/>
        <v>0</v>
      </c>
      <c r="X59" s="59">
        <f t="shared" si="23"/>
        <v>1</v>
      </c>
      <c r="Y59" s="249" t="str">
        <f t="shared" si="24"/>
        <v>Nivel del indicador que satisface y supera las expectativas</v>
      </c>
      <c r="Z59" s="70"/>
      <c r="AA59" s="70"/>
      <c r="AB59" s="70">
        <f t="shared" si="29"/>
        <v>0</v>
      </c>
      <c r="AC59" s="59" t="str">
        <f t="shared" si="30"/>
        <v/>
      </c>
      <c r="AD59" s="55" t="str">
        <f t="shared" si="31"/>
        <v/>
      </c>
      <c r="AH59" s="79">
        <f t="shared" si="32"/>
        <v>5.0000000000000004E-8</v>
      </c>
      <c r="AI59" s="79">
        <f t="shared" si="33"/>
        <v>5.0000000000000004E-8</v>
      </c>
      <c r="AJ59" s="79">
        <f t="shared" si="34"/>
        <v>1</v>
      </c>
      <c r="AK59" s="79">
        <f t="shared" si="35"/>
        <v>0</v>
      </c>
    </row>
    <row r="60" spans="1:37" ht="45" x14ac:dyDescent="0.25">
      <c r="A60" s="57" t="s">
        <v>349</v>
      </c>
      <c r="B60" s="57" t="s">
        <v>350</v>
      </c>
      <c r="C60" s="54" t="s">
        <v>351</v>
      </c>
      <c r="D60" s="58" t="s">
        <v>363</v>
      </c>
      <c r="E60" s="120">
        <v>72000000</v>
      </c>
      <c r="F60" s="207">
        <v>0.25</v>
      </c>
      <c r="G60" s="121">
        <v>19932706</v>
      </c>
      <c r="H60" s="121">
        <v>19932706</v>
      </c>
      <c r="I60" s="67">
        <f t="shared" si="5"/>
        <v>0</v>
      </c>
      <c r="J60" s="68">
        <f t="shared" si="0"/>
        <v>1</v>
      </c>
      <c r="K60" s="55" t="str">
        <f t="shared" si="1"/>
        <v>Nivel del indicador que satisface y supera las expectativas</v>
      </c>
      <c r="L60" s="179">
        <v>72000000</v>
      </c>
      <c r="M60" s="207">
        <v>0.5</v>
      </c>
      <c r="N60" s="116">
        <f t="shared" si="22"/>
        <v>36000000</v>
      </c>
      <c r="O60" s="179">
        <v>24926138</v>
      </c>
      <c r="P60" s="70">
        <f t="shared" si="6"/>
        <v>11073862</v>
      </c>
      <c r="Q60" s="59">
        <f t="shared" si="7"/>
        <v>0.69239272222222226</v>
      </c>
      <c r="R60" s="55" t="str">
        <f t="shared" si="46"/>
        <v>Nivel del indicador que satisface y supera las expectativas</v>
      </c>
      <c r="S60" s="217">
        <v>80891438</v>
      </c>
      <c r="T60" s="215">
        <v>0.75</v>
      </c>
      <c r="U60" s="248">
        <f t="shared" si="19"/>
        <v>60668578.5</v>
      </c>
      <c r="V60" s="248">
        <v>58411596</v>
      </c>
      <c r="W60" s="248">
        <f t="shared" si="8"/>
        <v>2256982.5</v>
      </c>
      <c r="X60" s="59">
        <f t="shared" si="23"/>
        <v>0.96279816412708596</v>
      </c>
      <c r="Y60" s="249" t="str">
        <f t="shared" si="24"/>
        <v>Nivel del indicador que satisface y supera las expectativas</v>
      </c>
      <c r="Z60" s="70"/>
      <c r="AA60" s="70"/>
      <c r="AB60" s="70">
        <f t="shared" si="29"/>
        <v>0</v>
      </c>
      <c r="AC60" s="59" t="str">
        <f t="shared" si="30"/>
        <v/>
      </c>
      <c r="AD60" s="55" t="str">
        <f t="shared" si="31"/>
        <v/>
      </c>
      <c r="AH60" s="79">
        <f t="shared" si="32"/>
        <v>0.2768431388888889</v>
      </c>
      <c r="AI60" s="79">
        <f t="shared" si="33"/>
        <v>0.34619636111111113</v>
      </c>
      <c r="AJ60" s="79">
        <f t="shared" si="34"/>
        <v>0.72209862309531447</v>
      </c>
      <c r="AK60" s="79">
        <f t="shared" si="35"/>
        <v>0</v>
      </c>
    </row>
    <row r="61" spans="1:37" ht="30" x14ac:dyDescent="0.25">
      <c r="A61" s="57" t="s">
        <v>349</v>
      </c>
      <c r="B61" s="57" t="s">
        <v>352</v>
      </c>
      <c r="C61" s="54" t="s">
        <v>353</v>
      </c>
      <c r="D61" s="58" t="s">
        <v>363</v>
      </c>
      <c r="E61" s="120">
        <v>53269674</v>
      </c>
      <c r="F61" s="207">
        <v>0.25</v>
      </c>
      <c r="G61" s="116">
        <f t="shared" si="4"/>
        <v>13317418.5</v>
      </c>
      <c r="H61" s="121">
        <v>0.1</v>
      </c>
      <c r="I61" s="67">
        <f t="shared" si="5"/>
        <v>13317418.4</v>
      </c>
      <c r="J61" s="68">
        <f t="shared" si="0"/>
        <v>7.5089627918503876E-9</v>
      </c>
      <c r="K61" s="55" t="str">
        <f t="shared" si="1"/>
        <v>Se ha avanzado muy poco o nada en este indicador</v>
      </c>
      <c r="L61" s="179">
        <v>53269674</v>
      </c>
      <c r="M61" s="207">
        <v>0.5</v>
      </c>
      <c r="N61" s="116">
        <f t="shared" si="22"/>
        <v>26634837</v>
      </c>
      <c r="O61" s="179">
        <v>0.1</v>
      </c>
      <c r="P61" s="70">
        <f t="shared" si="6"/>
        <v>26634836.899999999</v>
      </c>
      <c r="Q61" s="59">
        <f t="shared" si="7"/>
        <v>3.7544813959251938E-9</v>
      </c>
      <c r="R61" s="55" t="str">
        <f t="shared" si="46"/>
        <v>Se ha avanzado muy poco o nada en este indicador</v>
      </c>
      <c r="S61" s="217">
        <v>44378236</v>
      </c>
      <c r="T61" s="215">
        <v>0.75</v>
      </c>
      <c r="U61" s="248">
        <f t="shared" si="19"/>
        <v>33283677</v>
      </c>
      <c r="V61" s="248">
        <v>0</v>
      </c>
      <c r="W61" s="248">
        <f t="shared" si="8"/>
        <v>33283677</v>
      </c>
      <c r="X61" s="59">
        <f t="shared" si="23"/>
        <v>0</v>
      </c>
      <c r="Y61" s="249" t="str">
        <f t="shared" si="24"/>
        <v>Se ha avanzado muy poco o nada en este indicador</v>
      </c>
      <c r="Z61" s="70"/>
      <c r="AA61" s="70"/>
      <c r="AB61" s="70">
        <f t="shared" si="29"/>
        <v>0</v>
      </c>
      <c r="AC61" s="59" t="str">
        <f t="shared" si="30"/>
        <v/>
      </c>
      <c r="AD61" s="55" t="str">
        <f t="shared" si="31"/>
        <v/>
      </c>
      <c r="AH61" s="79">
        <f t="shared" si="32"/>
        <v>1.8772406979625969E-9</v>
      </c>
      <c r="AI61" s="79">
        <f t="shared" si="33"/>
        <v>1.8772406979625969E-9</v>
      </c>
      <c r="AJ61" s="79">
        <f t="shared" si="34"/>
        <v>0</v>
      </c>
      <c r="AK61" s="79">
        <f t="shared" si="35"/>
        <v>0</v>
      </c>
    </row>
    <row r="62" spans="1:37" ht="45" x14ac:dyDescent="0.25">
      <c r="A62" s="57" t="s">
        <v>349</v>
      </c>
      <c r="B62" s="57" t="s">
        <v>354</v>
      </c>
      <c r="C62" s="54" t="s">
        <v>355</v>
      </c>
      <c r="D62" s="58" t="s">
        <v>363</v>
      </c>
      <c r="E62" s="120">
        <v>12000000</v>
      </c>
      <c r="F62" s="207">
        <v>0.25</v>
      </c>
      <c r="G62" s="116">
        <f t="shared" si="4"/>
        <v>3000000</v>
      </c>
      <c r="H62" s="121">
        <v>0.1</v>
      </c>
      <c r="I62" s="67">
        <f t="shared" si="5"/>
        <v>2999999.9</v>
      </c>
      <c r="J62" s="68">
        <f t="shared" si="0"/>
        <v>3.3333333333333334E-8</v>
      </c>
      <c r="K62" s="55" t="str">
        <f t="shared" si="1"/>
        <v>Se ha avanzado muy poco o nada en este indicador</v>
      </c>
      <c r="L62" s="179">
        <v>12000000</v>
      </c>
      <c r="M62" s="207">
        <v>0.5</v>
      </c>
      <c r="N62" s="116">
        <f t="shared" si="22"/>
        <v>6000000</v>
      </c>
      <c r="O62" s="179">
        <v>0.1</v>
      </c>
      <c r="P62" s="70">
        <f t="shared" si="6"/>
        <v>5999999.9000000004</v>
      </c>
      <c r="Q62" s="59">
        <f t="shared" si="7"/>
        <v>1.6666666666666667E-8</v>
      </c>
      <c r="R62" s="55" t="str">
        <f t="shared" ref="R62" si="55">IF(AND(L62&gt;0,O62=""),"¡¡Ojo No se Ejecuto Presupuesto!!",IF(Q62=0%,"",IF(Q62&lt;16%,"Se ha avanzado muy poco o nada en este indicador",IF(Q62&lt;=37%,"Nivel Aceptable del Indicador",IF(Q62&lt;=50%,"Nivel del indicador que cumple las expectativas","Nivel del indicador que satisface y supera las expectativas")))))</f>
        <v>Se ha avanzado muy poco o nada en este indicador</v>
      </c>
      <c r="S62" s="217">
        <v>12000000</v>
      </c>
      <c r="T62" s="215">
        <v>0.75</v>
      </c>
      <c r="U62" s="248">
        <v>10000000</v>
      </c>
      <c r="V62" s="248">
        <v>10000000</v>
      </c>
      <c r="W62" s="248">
        <f t="shared" si="8"/>
        <v>0</v>
      </c>
      <c r="X62" s="59">
        <f t="shared" si="23"/>
        <v>1</v>
      </c>
      <c r="Y62" s="249" t="str">
        <f t="shared" si="24"/>
        <v>Nivel del indicador que satisface y supera las expectativas</v>
      </c>
      <c r="Z62" s="70"/>
      <c r="AA62" s="70"/>
      <c r="AB62" s="70">
        <f t="shared" si="29"/>
        <v>0</v>
      </c>
      <c r="AC62" s="59" t="str">
        <f t="shared" si="30"/>
        <v/>
      </c>
      <c r="AD62" s="55" t="str">
        <f t="shared" si="31"/>
        <v/>
      </c>
      <c r="AH62" s="79">
        <f t="shared" si="32"/>
        <v>8.3333333333333335E-9</v>
      </c>
      <c r="AI62" s="79">
        <f t="shared" si="33"/>
        <v>8.3333333333333335E-9</v>
      </c>
      <c r="AJ62" s="79">
        <f t="shared" si="34"/>
        <v>0.83333333333333337</v>
      </c>
      <c r="AK62" s="79">
        <f t="shared" si="35"/>
        <v>0</v>
      </c>
    </row>
    <row r="63" spans="1:37" ht="60" x14ac:dyDescent="0.25">
      <c r="A63" s="57" t="s">
        <v>356</v>
      </c>
      <c r="B63" s="57" t="s">
        <v>357</v>
      </c>
      <c r="C63" s="54" t="s">
        <v>358</v>
      </c>
      <c r="D63" s="58" t="s">
        <v>372</v>
      </c>
      <c r="E63" s="120">
        <v>18600000</v>
      </c>
      <c r="F63" s="207">
        <v>0.25</v>
      </c>
      <c r="G63" s="116">
        <f t="shared" si="4"/>
        <v>4650000</v>
      </c>
      <c r="H63" s="121">
        <v>0.1</v>
      </c>
      <c r="I63" s="67">
        <f t="shared" si="5"/>
        <v>4649999.9000000004</v>
      </c>
      <c r="J63" s="68">
        <f t="shared" si="0"/>
        <v>2.1505376344086022E-8</v>
      </c>
      <c r="K63" s="55" t="str">
        <f t="shared" si="1"/>
        <v>Se ha avanzado muy poco o nada en este indicador</v>
      </c>
      <c r="L63" s="179">
        <v>24900000</v>
      </c>
      <c r="M63" s="207">
        <v>0.5</v>
      </c>
      <c r="N63" s="116">
        <f t="shared" si="22"/>
        <v>12450000</v>
      </c>
      <c r="O63" s="179">
        <v>4380566</v>
      </c>
      <c r="P63" s="70">
        <f t="shared" si="6"/>
        <v>8069434</v>
      </c>
      <c r="Q63" s="59">
        <f t="shared" si="7"/>
        <v>0.3518526907630522</v>
      </c>
      <c r="R63" s="55" t="str">
        <f t="shared" si="36"/>
        <v>Nivel Aceptable del Indicador</v>
      </c>
      <c r="S63" s="217">
        <v>40150000</v>
      </c>
      <c r="T63" s="215">
        <v>0.75</v>
      </c>
      <c r="U63" s="248">
        <f t="shared" si="19"/>
        <v>30112500</v>
      </c>
      <c r="V63" s="248">
        <v>23846990</v>
      </c>
      <c r="W63" s="248">
        <f t="shared" si="8"/>
        <v>6265510</v>
      </c>
      <c r="X63" s="59">
        <f t="shared" si="23"/>
        <v>0.79192992943129925</v>
      </c>
      <c r="Y63" s="249" t="str">
        <f t="shared" si="24"/>
        <v>Nivel del indicador que satisface y supera las expectativas</v>
      </c>
      <c r="Z63" s="70"/>
      <c r="AA63" s="70"/>
      <c r="AB63" s="70">
        <f t="shared" si="29"/>
        <v>0</v>
      </c>
      <c r="AC63" s="59" t="str">
        <f t="shared" si="30"/>
        <v/>
      </c>
      <c r="AD63" s="55" t="str">
        <f t="shared" si="31"/>
        <v/>
      </c>
      <c r="AH63" s="79">
        <f t="shared" si="32"/>
        <v>5.3763440860215056E-9</v>
      </c>
      <c r="AI63" s="79">
        <f t="shared" si="33"/>
        <v>0.1759263453815261</v>
      </c>
      <c r="AJ63" s="79">
        <f t="shared" si="34"/>
        <v>0.59394744707347447</v>
      </c>
      <c r="AK63" s="79">
        <f t="shared" si="35"/>
        <v>0</v>
      </c>
    </row>
    <row r="64" spans="1:37" ht="28.5" customHeight="1" x14ac:dyDescent="0.25">
      <c r="A64" s="57" t="s">
        <v>356</v>
      </c>
      <c r="B64" s="57" t="s">
        <v>359</v>
      </c>
      <c r="C64" s="54" t="s">
        <v>360</v>
      </c>
      <c r="D64" s="58" t="s">
        <v>373</v>
      </c>
      <c r="E64" s="120">
        <v>1906127</v>
      </c>
      <c r="F64" s="207">
        <v>0.25</v>
      </c>
      <c r="G64" s="116">
        <f t="shared" si="4"/>
        <v>476531.75</v>
      </c>
      <c r="H64" s="121">
        <v>0.1</v>
      </c>
      <c r="I64" s="67">
        <f t="shared" si="5"/>
        <v>476531.65</v>
      </c>
      <c r="J64" s="68">
        <f t="shared" si="0"/>
        <v>2.0984960603359588E-7</v>
      </c>
      <c r="K64" s="55" t="str">
        <f t="shared" si="1"/>
        <v>Se ha avanzado muy poco o nada en este indicador</v>
      </c>
      <c r="L64" s="179">
        <v>1906127</v>
      </c>
      <c r="M64" s="207">
        <v>0.5</v>
      </c>
      <c r="N64" s="116">
        <f t="shared" si="22"/>
        <v>953063.5</v>
      </c>
      <c r="O64" s="179">
        <v>864992</v>
      </c>
      <c r="P64" s="70">
        <f t="shared" si="6"/>
        <v>88071.5</v>
      </c>
      <c r="Q64" s="59">
        <f t="shared" si="7"/>
        <v>0.90759115211106078</v>
      </c>
      <c r="R64" s="55" t="str">
        <f t="shared" si="36"/>
        <v>Nivel del indicador que satisface y supera las expectativas</v>
      </c>
      <c r="S64" s="217">
        <v>1906127</v>
      </c>
      <c r="T64" s="215">
        <v>0.75</v>
      </c>
      <c r="U64" s="248">
        <f t="shared" si="19"/>
        <v>1429595.25</v>
      </c>
      <c r="V64" s="248">
        <v>864992</v>
      </c>
      <c r="W64" s="248">
        <f t="shared" si="8"/>
        <v>564603.25</v>
      </c>
      <c r="X64" s="59">
        <f t="shared" si="23"/>
        <v>0.60506076807404052</v>
      </c>
      <c r="Y64" s="249" t="str">
        <f t="shared" si="24"/>
        <v>Nivel del indicador que cumple las expectativas</v>
      </c>
      <c r="Z64" s="70"/>
      <c r="AA64" s="70"/>
      <c r="AB64" s="70">
        <f t="shared" si="29"/>
        <v>0</v>
      </c>
      <c r="AC64" s="59" t="str">
        <f t="shared" si="30"/>
        <v/>
      </c>
      <c r="AD64" s="55" t="str">
        <f t="shared" si="31"/>
        <v/>
      </c>
      <c r="AH64" s="79">
        <f t="shared" si="32"/>
        <v>5.2462401508398971E-8</v>
      </c>
      <c r="AI64" s="79">
        <f t="shared" si="33"/>
        <v>0.45379557605553039</v>
      </c>
      <c r="AJ64" s="79">
        <f t="shared" si="34"/>
        <v>0.45379557605553039</v>
      </c>
      <c r="AK64" s="79">
        <f t="shared" si="35"/>
        <v>0</v>
      </c>
    </row>
    <row r="65" spans="1:37" ht="90" x14ac:dyDescent="0.25">
      <c r="A65" s="57" t="s">
        <v>356</v>
      </c>
      <c r="B65" s="57" t="s">
        <v>361</v>
      </c>
      <c r="C65" s="54" t="s">
        <v>362</v>
      </c>
      <c r="D65" s="58" t="s">
        <v>363</v>
      </c>
      <c r="E65" s="120">
        <v>10225841</v>
      </c>
      <c r="F65" s="207">
        <v>0.25</v>
      </c>
      <c r="G65" s="121">
        <v>3219756</v>
      </c>
      <c r="H65" s="121">
        <v>3219756</v>
      </c>
      <c r="I65" s="67">
        <f t="shared" si="5"/>
        <v>0</v>
      </c>
      <c r="J65" s="68">
        <f t="shared" si="0"/>
        <v>1</v>
      </c>
      <c r="K65" s="55" t="str">
        <f t="shared" si="1"/>
        <v>Nivel del indicador que satisface y supera las expectativas</v>
      </c>
      <c r="L65" s="179">
        <v>10225841</v>
      </c>
      <c r="M65" s="207">
        <v>0.5</v>
      </c>
      <c r="N65" s="179">
        <v>7697586</v>
      </c>
      <c r="O65" s="179">
        <v>7697586</v>
      </c>
      <c r="P65" s="70">
        <f t="shared" si="6"/>
        <v>0</v>
      </c>
      <c r="Q65" s="59">
        <f t="shared" si="7"/>
        <v>1</v>
      </c>
      <c r="R65" s="55" t="str">
        <f t="shared" si="36"/>
        <v>Nivel del indicador que satisface y supera las expectativas</v>
      </c>
      <c r="S65" s="217">
        <v>10225841</v>
      </c>
      <c r="T65" s="215">
        <v>0.75</v>
      </c>
      <c r="U65" s="248">
        <v>10225841</v>
      </c>
      <c r="V65" s="248">
        <v>10225841</v>
      </c>
      <c r="W65" s="248">
        <f t="shared" si="8"/>
        <v>0</v>
      </c>
      <c r="X65" s="59">
        <f t="shared" si="23"/>
        <v>1</v>
      </c>
      <c r="Y65" s="249" t="str">
        <f t="shared" si="24"/>
        <v>Nivel del indicador que satisface y supera las expectativas</v>
      </c>
      <c r="Z65" s="70"/>
      <c r="AA65" s="70"/>
      <c r="AB65" s="70">
        <f t="shared" si="29"/>
        <v>0</v>
      </c>
      <c r="AC65" s="59" t="str">
        <f t="shared" si="30"/>
        <v/>
      </c>
      <c r="AD65" s="55" t="str">
        <f t="shared" si="31"/>
        <v/>
      </c>
      <c r="AH65" s="79">
        <f t="shared" si="32"/>
        <v>0.3148646649209586</v>
      </c>
      <c r="AI65" s="79">
        <f t="shared" si="33"/>
        <v>0.7527582327947403</v>
      </c>
      <c r="AJ65" s="79">
        <f t="shared" si="34"/>
        <v>1</v>
      </c>
      <c r="AK65" s="79">
        <f t="shared" si="35"/>
        <v>0</v>
      </c>
    </row>
    <row r="66" spans="1:37" ht="90" x14ac:dyDescent="0.25">
      <c r="A66" s="57" t="s">
        <v>356</v>
      </c>
      <c r="B66" s="57" t="s">
        <v>558</v>
      </c>
      <c r="C66" s="54" t="s">
        <v>362</v>
      </c>
      <c r="D66" s="58" t="s">
        <v>363</v>
      </c>
      <c r="E66" s="120">
        <v>95582749</v>
      </c>
      <c r="F66" s="207">
        <v>0.25</v>
      </c>
      <c r="G66" s="121">
        <v>24399998</v>
      </c>
      <c r="H66" s="121">
        <v>24399998</v>
      </c>
      <c r="I66" s="67">
        <f t="shared" si="5"/>
        <v>0</v>
      </c>
      <c r="J66" s="68">
        <f t="shared" si="0"/>
        <v>1</v>
      </c>
      <c r="K66" s="55" t="str">
        <f t="shared" ref="K66:K68" si="56">IF(AND(E66&gt;0,H66=""),"¡¡Ojo No se Ejecuto Presupuesto!!",IF(J66=0%,"",IF(J66&lt;9%,"Se ha avanzado muy poco o nada en este indicador",IF(J66&lt;=20%,"Nivel Aceptable del Indicador",IF(J66&lt;=25%,"Nivel del indicador que cumple las expectativas","Nivel del indicador que satisface y supera las expectativas")))))</f>
        <v>Nivel del indicador que satisface y supera las expectativas</v>
      </c>
      <c r="L66" s="179">
        <v>93582749</v>
      </c>
      <c r="M66" s="207">
        <v>0.5</v>
      </c>
      <c r="N66" s="116">
        <f t="shared" si="22"/>
        <v>46791374.5</v>
      </c>
      <c r="O66" s="179">
        <v>24399998</v>
      </c>
      <c r="P66" s="70">
        <f t="shared" si="6"/>
        <v>22391376.5</v>
      </c>
      <c r="Q66" s="59">
        <f t="shared" si="7"/>
        <v>0.52146358726863218</v>
      </c>
      <c r="R66" s="55" t="str">
        <f t="shared" ref="R66:R71" si="57">IF(AND(L66&gt;0,O66=""),"¡¡Ojo No se Ejecuto Presupuesto!!",IF(Q66=0%,"",IF(Q66&lt;16%,"Se ha avanzado muy poco o nada en este indicador",IF(Q66&lt;=37%,"Nivel Aceptable del Indicador",IF(Q66&lt;=50%,"Nivel del indicador que cumple las expectativas","Nivel del indicador que satisface y supera las expectativas")))))</f>
        <v>Nivel del indicador que satisface y supera las expectativas</v>
      </c>
      <c r="S66" s="217">
        <v>76395862</v>
      </c>
      <c r="T66" s="215">
        <v>0.75</v>
      </c>
      <c r="U66" s="248">
        <v>72195862</v>
      </c>
      <c r="V66" s="248">
        <v>72195862</v>
      </c>
      <c r="W66" s="248">
        <f t="shared" si="8"/>
        <v>0</v>
      </c>
      <c r="X66" s="59">
        <f t="shared" si="23"/>
        <v>1</v>
      </c>
      <c r="Y66" s="249" t="str">
        <f t="shared" si="24"/>
        <v>Nivel del indicador que satisface y supera las expectativas</v>
      </c>
      <c r="Z66" s="70"/>
      <c r="AA66" s="70"/>
      <c r="AB66" s="70">
        <f t="shared" ref="AB66:AB68" si="58">Z66-AA66</f>
        <v>0</v>
      </c>
      <c r="AC66" s="59" t="str">
        <f t="shared" ref="AC66:AC68" si="59">IF(AB66&gt;0,AA66/Z66,"")</f>
        <v/>
      </c>
      <c r="AD66" s="55" t="str">
        <f t="shared" ref="AD66:AD68" si="60">IF(AND(Z66&gt;0,AA66=""),"¡¡Ojo No se Ejecuto Presupuesto!!",IF(AC66="","",IF(AC66&lt;33.99%,"Se ha avanzado muy poco o nada en este indicador",IF(AC66&lt;=75.99%,"Nivel Aceptable del Indicador",IF(AC66&lt;=98.99%,"Nivel del indicador que cumple las expectativas","Nivel del indicador que satisface y supera las expectativas")))))</f>
        <v/>
      </c>
      <c r="AH66" s="79">
        <f t="shared" ref="AH66:AH68" si="61">IFERROR((H66/E66),0)</f>
        <v>0.25527616913382561</v>
      </c>
      <c r="AI66" s="79">
        <f t="shared" ref="AI66:AI68" si="62">IFERROR((O66/L66),0)</f>
        <v>0.26073179363431609</v>
      </c>
      <c r="AJ66" s="79">
        <f t="shared" ref="AJ66:AJ68" si="63">IFERROR((V66/S66),0)</f>
        <v>0.94502320034035348</v>
      </c>
      <c r="AK66" s="79">
        <f t="shared" ref="AK66:AK68" si="64">IFERROR((AA66/Z66),0)</f>
        <v>0</v>
      </c>
    </row>
    <row r="67" spans="1:37" ht="90" x14ac:dyDescent="0.25">
      <c r="A67" s="57" t="s">
        <v>356</v>
      </c>
      <c r="B67" s="57" t="s">
        <v>559</v>
      </c>
      <c r="C67" s="54" t="s">
        <v>362</v>
      </c>
      <c r="D67" s="58" t="s">
        <v>363</v>
      </c>
      <c r="E67" s="120">
        <v>74000000</v>
      </c>
      <c r="F67" s="207">
        <v>0.25</v>
      </c>
      <c r="G67" s="121">
        <v>64767372</v>
      </c>
      <c r="H67" s="121">
        <v>64767372</v>
      </c>
      <c r="I67" s="67">
        <f t="shared" si="5"/>
        <v>0</v>
      </c>
      <c r="J67" s="68">
        <f t="shared" ref="J67:J118" si="65">IFERROR((H67/G67),0)</f>
        <v>1</v>
      </c>
      <c r="K67" s="55" t="str">
        <f t="shared" si="56"/>
        <v>Nivel del indicador que satisface y supera las expectativas</v>
      </c>
      <c r="L67" s="179">
        <v>74000000</v>
      </c>
      <c r="M67" s="207">
        <v>0.5</v>
      </c>
      <c r="N67" s="179">
        <v>69976753</v>
      </c>
      <c r="O67" s="179">
        <v>69976753</v>
      </c>
      <c r="P67" s="70">
        <f t="shared" si="6"/>
        <v>0</v>
      </c>
      <c r="Q67" s="59">
        <f t="shared" ref="Q67:Q112" si="66">IFERROR((O67/N67),0)</f>
        <v>1</v>
      </c>
      <c r="R67" s="55" t="str">
        <f t="shared" si="57"/>
        <v>Nivel del indicador que satisface y supera las expectativas</v>
      </c>
      <c r="S67" s="217">
        <v>100249179</v>
      </c>
      <c r="T67" s="215">
        <v>0.75</v>
      </c>
      <c r="U67" s="248">
        <v>94592523</v>
      </c>
      <c r="V67" s="248">
        <v>94592523</v>
      </c>
      <c r="W67" s="248">
        <f t="shared" si="8"/>
        <v>0</v>
      </c>
      <c r="X67" s="59">
        <f t="shared" si="23"/>
        <v>1</v>
      </c>
      <c r="Y67" s="249" t="str">
        <f t="shared" si="24"/>
        <v>Nivel del indicador que satisface y supera las expectativas</v>
      </c>
      <c r="Z67" s="70"/>
      <c r="AA67" s="70"/>
      <c r="AB67" s="70">
        <f t="shared" si="58"/>
        <v>0</v>
      </c>
      <c r="AC67" s="59" t="str">
        <f t="shared" si="59"/>
        <v/>
      </c>
      <c r="AD67" s="55" t="str">
        <f t="shared" si="60"/>
        <v/>
      </c>
      <c r="AH67" s="79">
        <f t="shared" si="61"/>
        <v>0.87523475675675677</v>
      </c>
      <c r="AI67" s="79">
        <f t="shared" si="62"/>
        <v>0.94563179729729729</v>
      </c>
      <c r="AJ67" s="79">
        <f t="shared" si="63"/>
        <v>0.94357404163878489</v>
      </c>
      <c r="AK67" s="79">
        <f t="shared" si="64"/>
        <v>0</v>
      </c>
    </row>
    <row r="68" spans="1:37" ht="90" x14ac:dyDescent="0.25">
      <c r="A68" s="57" t="s">
        <v>356</v>
      </c>
      <c r="B68" s="57" t="s">
        <v>560</v>
      </c>
      <c r="C68" s="54" t="s">
        <v>362</v>
      </c>
      <c r="D68" s="58" t="s">
        <v>363</v>
      </c>
      <c r="E68" s="120">
        <v>20000000</v>
      </c>
      <c r="F68" s="207">
        <v>0.25</v>
      </c>
      <c r="G68" s="116">
        <f t="shared" ref="G68:G117" si="67">+E68*F68</f>
        <v>5000000</v>
      </c>
      <c r="H68" s="120">
        <v>0.1</v>
      </c>
      <c r="I68" s="67">
        <f t="shared" ref="I68:I118" si="68">G68-H68</f>
        <v>4999999.9000000004</v>
      </c>
      <c r="J68" s="68">
        <f t="shared" si="65"/>
        <v>2E-8</v>
      </c>
      <c r="K68" s="55" t="str">
        <f t="shared" si="56"/>
        <v>Se ha avanzado muy poco o nada en este indicador</v>
      </c>
      <c r="L68" s="179">
        <v>20000000</v>
      </c>
      <c r="M68" s="207">
        <v>0.5</v>
      </c>
      <c r="N68" s="116">
        <f t="shared" ref="N68:N117" si="69">+L68*M68</f>
        <v>10000000</v>
      </c>
      <c r="O68" s="179">
        <v>0.1</v>
      </c>
      <c r="P68" s="70">
        <f t="shared" ref="P68:P118" si="70">N68-O68</f>
        <v>9999999.9000000004</v>
      </c>
      <c r="Q68" s="59">
        <f t="shared" si="66"/>
        <v>1E-8</v>
      </c>
      <c r="R68" s="55" t="str">
        <f t="shared" si="57"/>
        <v>Se ha avanzado muy poco o nada en este indicador</v>
      </c>
      <c r="S68" s="217">
        <v>0</v>
      </c>
      <c r="T68" s="215">
        <v>0.75</v>
      </c>
      <c r="U68" s="248">
        <f t="shared" ref="U68:U113" si="71">+S68*T68</f>
        <v>0</v>
      </c>
      <c r="V68" s="248">
        <v>0</v>
      </c>
      <c r="W68" s="248">
        <f t="shared" ref="W68:W113" si="72">U68-V68</f>
        <v>0</v>
      </c>
      <c r="X68" s="59">
        <f t="shared" si="23"/>
        <v>0</v>
      </c>
      <c r="Y68" s="249" t="str">
        <f t="shared" si="24"/>
        <v>Se ha avanzado muy poco o nada en este indicador</v>
      </c>
      <c r="Z68" s="70"/>
      <c r="AA68" s="70"/>
      <c r="AB68" s="70">
        <f t="shared" si="58"/>
        <v>0</v>
      </c>
      <c r="AC68" s="59" t="str">
        <f t="shared" si="59"/>
        <v/>
      </c>
      <c r="AD68" s="55" t="str">
        <f t="shared" si="60"/>
        <v/>
      </c>
      <c r="AH68" s="79">
        <f t="shared" si="61"/>
        <v>5.0000000000000001E-9</v>
      </c>
      <c r="AI68" s="79">
        <f t="shared" si="62"/>
        <v>5.0000000000000001E-9</v>
      </c>
      <c r="AJ68" s="79">
        <f t="shared" si="63"/>
        <v>0</v>
      </c>
      <c r="AK68" s="79">
        <f t="shared" si="64"/>
        <v>0</v>
      </c>
    </row>
    <row r="69" spans="1:37" ht="90" x14ac:dyDescent="0.25">
      <c r="A69" s="91" t="s">
        <v>374</v>
      </c>
      <c r="B69" s="91" t="s">
        <v>375</v>
      </c>
      <c r="C69" s="92" t="s">
        <v>376</v>
      </c>
      <c r="D69" s="93" t="s">
        <v>408</v>
      </c>
      <c r="E69" s="121">
        <v>212284420</v>
      </c>
      <c r="F69" s="207">
        <v>0.25</v>
      </c>
      <c r="G69" s="116">
        <f t="shared" si="67"/>
        <v>53071105</v>
      </c>
      <c r="H69" s="121">
        <v>48521568</v>
      </c>
      <c r="I69" s="67">
        <f t="shared" si="68"/>
        <v>4549537</v>
      </c>
      <c r="J69" s="68">
        <f t="shared" si="65"/>
        <v>0.91427468864648664</v>
      </c>
      <c r="K69" s="55" t="str">
        <f t="shared" si="1"/>
        <v>Nivel del indicador que satisface y supera las expectativas</v>
      </c>
      <c r="L69" s="179">
        <v>222926975</v>
      </c>
      <c r="M69" s="207">
        <v>0.5</v>
      </c>
      <c r="N69" s="116">
        <f t="shared" si="69"/>
        <v>111463487.5</v>
      </c>
      <c r="O69" s="179">
        <v>99462150</v>
      </c>
      <c r="P69" s="70">
        <f t="shared" si="70"/>
        <v>12001337.5</v>
      </c>
      <c r="Q69" s="59">
        <f t="shared" si="66"/>
        <v>0.89232942760740375</v>
      </c>
      <c r="R69" s="55" t="str">
        <f t="shared" si="57"/>
        <v>Nivel del indicador que satisface y supera las expectativas</v>
      </c>
      <c r="S69" s="218">
        <v>223964441</v>
      </c>
      <c r="T69" s="215">
        <v>0.75</v>
      </c>
      <c r="U69" s="248">
        <f t="shared" si="71"/>
        <v>167973330.75</v>
      </c>
      <c r="V69" s="248">
        <v>151665581</v>
      </c>
      <c r="W69" s="248">
        <f t="shared" si="72"/>
        <v>16307749.75</v>
      </c>
      <c r="X69" s="59">
        <f t="shared" si="23"/>
        <v>0.90291464914587338</v>
      </c>
      <c r="Y69" s="249" t="str">
        <f t="shared" si="24"/>
        <v>Nivel del indicador que satisface y supera las expectativas</v>
      </c>
      <c r="Z69" s="70"/>
      <c r="AA69" s="70"/>
      <c r="AB69" s="70">
        <f>Z69-AA69</f>
        <v>0</v>
      </c>
      <c r="AC69" s="59" t="str">
        <f>IF(AB69&gt;0,AA69/Z69,"")</f>
        <v/>
      </c>
      <c r="AD69" s="55" t="str">
        <f>IF(AND(Z69&gt;0,AA69=""),"¡¡Ojo No se Ejecuto Presupuesto!!",IF(AC69="","",IF(AC69&lt;33.99%,"Se ha avanzado muy poco o nada en este indicador",IF(AC69&lt;=75.99%,"Nivel Aceptable del Indicador",IF(AC69&lt;=98.99%,"Nivel del indicador que cumple las expectativas","Nivel del indicador que satisface y supera las expectativas")))))</f>
        <v/>
      </c>
      <c r="AH69" s="79">
        <f>IFERROR((H69/E69),0)</f>
        <v>0.22856867216162166</v>
      </c>
      <c r="AI69" s="79">
        <f>IFERROR((O69/L69),0)</f>
        <v>0.44616471380370187</v>
      </c>
      <c r="AJ69" s="79">
        <f>IFERROR((V69/S69),0)</f>
        <v>0.67718598685940501</v>
      </c>
      <c r="AK69" s="79">
        <f>IFERROR((AA69/Z69),0)</f>
        <v>0</v>
      </c>
    </row>
    <row r="70" spans="1:37" ht="75" x14ac:dyDescent="0.25">
      <c r="A70" s="91" t="s">
        <v>374</v>
      </c>
      <c r="B70" s="91" t="s">
        <v>377</v>
      </c>
      <c r="C70" s="92" t="s">
        <v>378</v>
      </c>
      <c r="D70" s="93" t="s">
        <v>363</v>
      </c>
      <c r="E70" s="121">
        <v>40000000</v>
      </c>
      <c r="F70" s="207">
        <v>0.25</v>
      </c>
      <c r="G70" s="116">
        <f t="shared" si="67"/>
        <v>10000000</v>
      </c>
      <c r="H70" s="121">
        <v>0.1</v>
      </c>
      <c r="I70" s="67">
        <f t="shared" si="68"/>
        <v>9999999.9000000004</v>
      </c>
      <c r="J70" s="68">
        <f t="shared" si="65"/>
        <v>1E-8</v>
      </c>
      <c r="K70" s="55" t="str">
        <f t="shared" si="1"/>
        <v>Se ha avanzado muy poco o nada en este indicador</v>
      </c>
      <c r="L70" s="179">
        <v>40000000</v>
      </c>
      <c r="M70" s="207">
        <v>0.5</v>
      </c>
      <c r="N70" s="116">
        <f t="shared" si="69"/>
        <v>20000000</v>
      </c>
      <c r="O70" s="179">
        <v>0.1</v>
      </c>
      <c r="P70" s="70">
        <f t="shared" si="70"/>
        <v>19999999.899999999</v>
      </c>
      <c r="Q70" s="59">
        <f t="shared" si="66"/>
        <v>5.0000000000000001E-9</v>
      </c>
      <c r="R70" s="55" t="str">
        <f t="shared" si="57"/>
        <v>Se ha avanzado muy poco o nada en este indicador</v>
      </c>
      <c r="S70" s="218">
        <v>40000000</v>
      </c>
      <c r="T70" s="215">
        <v>0.75</v>
      </c>
      <c r="U70" s="248">
        <f t="shared" si="71"/>
        <v>30000000</v>
      </c>
      <c r="V70" s="248">
        <v>0</v>
      </c>
      <c r="W70" s="248">
        <f t="shared" si="72"/>
        <v>30000000</v>
      </c>
      <c r="X70" s="59">
        <f t="shared" si="23"/>
        <v>0</v>
      </c>
      <c r="Y70" s="249" t="str">
        <f t="shared" si="24"/>
        <v>Se ha avanzado muy poco o nada en este indicador</v>
      </c>
      <c r="Z70" s="70"/>
      <c r="AA70" s="70"/>
      <c r="AB70" s="70">
        <f t="shared" ref="AB70:AB87" si="73">Z70-AA70</f>
        <v>0</v>
      </c>
      <c r="AC70" s="59" t="str">
        <f t="shared" ref="AC70:AC87" si="74">IF(AB70&gt;0,AA70/Z70,"")</f>
        <v/>
      </c>
      <c r="AD70" s="55" t="str">
        <f t="shared" ref="AD70:AD87" si="75">IF(AND(Z70&gt;0,AA70=""),"¡¡Ojo No se Ejecuto Presupuesto!!",IF(AC70="","",IF(AC70&lt;33.99%,"Se ha avanzado muy poco o nada en este indicador",IF(AC70&lt;=75.99%,"Nivel Aceptable del Indicador",IF(AC70&lt;=98.99%,"Nivel del indicador que cumple las expectativas","Nivel del indicador que satisface y supera las expectativas")))))</f>
        <v/>
      </c>
      <c r="AH70" s="79">
        <f t="shared" ref="AH70:AH87" si="76">IFERROR((H70/E70),0)</f>
        <v>2.5000000000000001E-9</v>
      </c>
      <c r="AI70" s="79">
        <f t="shared" ref="AI70:AI87" si="77">IFERROR((O70/L70),0)</f>
        <v>2.5000000000000001E-9</v>
      </c>
      <c r="AJ70" s="79">
        <f t="shared" ref="AJ70:AJ87" si="78">IFERROR((V70/S70),0)</f>
        <v>0</v>
      </c>
      <c r="AK70" s="79">
        <f t="shared" ref="AK70:AK87" si="79">IFERROR((AA70/Z70),0)</f>
        <v>0</v>
      </c>
    </row>
    <row r="71" spans="1:37" ht="30" customHeight="1" x14ac:dyDescent="0.25">
      <c r="A71" s="91" t="s">
        <v>374</v>
      </c>
      <c r="B71" s="91" t="s">
        <v>379</v>
      </c>
      <c r="C71" s="92" t="s">
        <v>380</v>
      </c>
      <c r="D71" s="93" t="s">
        <v>409</v>
      </c>
      <c r="E71" s="121">
        <v>8000000</v>
      </c>
      <c r="F71" s="207">
        <v>0.25</v>
      </c>
      <c r="G71" s="121">
        <v>2234283</v>
      </c>
      <c r="H71" s="121">
        <v>2234283</v>
      </c>
      <c r="I71" s="67">
        <f t="shared" si="68"/>
        <v>0</v>
      </c>
      <c r="J71" s="68">
        <f t="shared" si="65"/>
        <v>1</v>
      </c>
      <c r="K71" s="55" t="str">
        <f t="shared" si="1"/>
        <v>Nivel del indicador que satisface y supera las expectativas</v>
      </c>
      <c r="L71" s="179">
        <v>13000000</v>
      </c>
      <c r="M71" s="207">
        <v>0.5</v>
      </c>
      <c r="N71" s="116">
        <f t="shared" si="69"/>
        <v>6500000</v>
      </c>
      <c r="O71" s="179">
        <v>3263905</v>
      </c>
      <c r="P71" s="70">
        <f t="shared" si="70"/>
        <v>3236095</v>
      </c>
      <c r="Q71" s="59">
        <f t="shared" si="66"/>
        <v>0.50213923076923073</v>
      </c>
      <c r="R71" s="55" t="str">
        <f t="shared" si="57"/>
        <v>Nivel del indicador que satisface y supera las expectativas</v>
      </c>
      <c r="S71" s="218">
        <v>13000000</v>
      </c>
      <c r="T71" s="215">
        <v>0.75</v>
      </c>
      <c r="U71" s="248">
        <f t="shared" si="71"/>
        <v>9750000</v>
      </c>
      <c r="V71" s="248">
        <v>8996391</v>
      </c>
      <c r="W71" s="248">
        <f t="shared" si="72"/>
        <v>753609</v>
      </c>
      <c r="X71" s="59">
        <f t="shared" si="23"/>
        <v>0.92270676923076922</v>
      </c>
      <c r="Y71" s="249" t="str">
        <f t="shared" si="24"/>
        <v>Nivel del indicador que satisface y supera las expectativas</v>
      </c>
      <c r="Z71" s="70"/>
      <c r="AA71" s="70"/>
      <c r="AB71" s="70">
        <f t="shared" si="73"/>
        <v>0</v>
      </c>
      <c r="AC71" s="59" t="str">
        <f t="shared" si="74"/>
        <v/>
      </c>
      <c r="AD71" s="55" t="str">
        <f t="shared" si="75"/>
        <v/>
      </c>
      <c r="AH71" s="79">
        <f t="shared" si="76"/>
        <v>0.279285375</v>
      </c>
      <c r="AI71" s="79">
        <f t="shared" si="77"/>
        <v>0.25106961538461536</v>
      </c>
      <c r="AJ71" s="79">
        <f t="shared" si="78"/>
        <v>0.69203007692307694</v>
      </c>
      <c r="AK71" s="79">
        <f t="shared" si="79"/>
        <v>0</v>
      </c>
    </row>
    <row r="72" spans="1:37" ht="27.75" customHeight="1" x14ac:dyDescent="0.25">
      <c r="A72" s="91" t="s">
        <v>381</v>
      </c>
      <c r="B72" s="91" t="s">
        <v>382</v>
      </c>
      <c r="C72" s="92" t="s">
        <v>383</v>
      </c>
      <c r="D72" s="93" t="s">
        <v>363</v>
      </c>
      <c r="E72" s="121">
        <v>30000000</v>
      </c>
      <c r="F72" s="207">
        <v>0.25</v>
      </c>
      <c r="G72" s="121">
        <v>16177388</v>
      </c>
      <c r="H72" s="121">
        <v>16177388</v>
      </c>
      <c r="I72" s="67">
        <f t="shared" si="68"/>
        <v>0</v>
      </c>
      <c r="J72" s="68">
        <f t="shared" si="65"/>
        <v>1</v>
      </c>
      <c r="K72" s="55" t="str">
        <f t="shared" ref="K72:K118" si="80">IF(AND(E72&gt;0,H72=""),"¡¡Ojo No se Ejecuto Presupuesto!!",IF(J72=0%,"",IF(J72&lt;9%,"Se ha avanzado muy poco o nada en este indicador",IF(J72&lt;=20%,"Nivel Aceptable del Indicador",IF(J72&lt;=25%,"Nivel del indicador que cumple las expectativas","Nivel del indicador que satisface y supera las expectativas")))))</f>
        <v>Nivel del indicador que satisface y supera las expectativas</v>
      </c>
      <c r="L72" s="179">
        <v>30000000</v>
      </c>
      <c r="M72" s="207">
        <v>0.5</v>
      </c>
      <c r="N72" s="179">
        <v>25915629</v>
      </c>
      <c r="O72" s="179">
        <v>25915629</v>
      </c>
      <c r="P72" s="70">
        <f t="shared" si="70"/>
        <v>0</v>
      </c>
      <c r="Q72" s="59">
        <f t="shared" si="66"/>
        <v>1</v>
      </c>
      <c r="R72" s="55" t="str">
        <f t="shared" ref="R72:R89" si="81">IF(AND(L72&gt;0,O72=""),"¡¡Ojo No se Ejecuto Presupuesto!!",IF(Q72=0%,"",IF(Q72&lt;16%,"Se ha avanzado muy poco o nada en este indicador",IF(Q72&lt;=37%,"Nivel Aceptable del Indicador",IF(Q72&lt;=50%,"Nivel del indicador que cumple las expectativas","Nivel del indicador que satisface y supera las expectativas")))))</f>
        <v>Nivel del indicador que satisface y supera las expectativas</v>
      </c>
      <c r="S72" s="218">
        <v>30000000</v>
      </c>
      <c r="T72" s="215">
        <v>0.75</v>
      </c>
      <c r="U72" s="248">
        <v>29902595</v>
      </c>
      <c r="V72" s="248">
        <v>29902595</v>
      </c>
      <c r="W72" s="248">
        <f t="shared" si="72"/>
        <v>0</v>
      </c>
      <c r="X72" s="59">
        <f t="shared" si="23"/>
        <v>1</v>
      </c>
      <c r="Y72" s="249" t="str">
        <f t="shared" si="24"/>
        <v>Nivel del indicador que satisface y supera las expectativas</v>
      </c>
      <c r="Z72" s="70"/>
      <c r="AA72" s="70"/>
      <c r="AB72" s="70">
        <f t="shared" si="73"/>
        <v>0</v>
      </c>
      <c r="AC72" s="59" t="str">
        <f t="shared" si="74"/>
        <v/>
      </c>
      <c r="AD72" s="55" t="str">
        <f t="shared" si="75"/>
        <v/>
      </c>
      <c r="AH72" s="79">
        <f t="shared" si="76"/>
        <v>0.53924626666666664</v>
      </c>
      <c r="AI72" s="79">
        <f t="shared" si="77"/>
        <v>0.86385429999999996</v>
      </c>
      <c r="AJ72" s="79">
        <f t="shared" si="78"/>
        <v>0.99675316666666669</v>
      </c>
      <c r="AK72" s="79">
        <f t="shared" si="79"/>
        <v>0</v>
      </c>
    </row>
    <row r="73" spans="1:37" ht="30" x14ac:dyDescent="0.25">
      <c r="A73" s="91" t="s">
        <v>384</v>
      </c>
      <c r="B73" s="91" t="s">
        <v>325</v>
      </c>
      <c r="C73" s="92" t="s">
        <v>385</v>
      </c>
      <c r="D73" s="93" t="s">
        <v>363</v>
      </c>
      <c r="E73" s="121">
        <v>140000000</v>
      </c>
      <c r="F73" s="207">
        <v>0.25</v>
      </c>
      <c r="G73" s="116">
        <f t="shared" si="67"/>
        <v>35000000</v>
      </c>
      <c r="H73" s="121">
        <v>568436</v>
      </c>
      <c r="I73" s="67">
        <f t="shared" si="68"/>
        <v>34431564</v>
      </c>
      <c r="J73" s="68">
        <f t="shared" si="65"/>
        <v>1.6241028571428572E-2</v>
      </c>
      <c r="K73" s="55" t="str">
        <f t="shared" si="80"/>
        <v>Se ha avanzado muy poco o nada en este indicador</v>
      </c>
      <c r="L73" s="179">
        <v>140000000</v>
      </c>
      <c r="M73" s="207">
        <v>0.5</v>
      </c>
      <c r="N73" s="116">
        <f t="shared" si="69"/>
        <v>70000000</v>
      </c>
      <c r="O73" s="179">
        <v>23902121</v>
      </c>
      <c r="P73" s="70">
        <f t="shared" si="70"/>
        <v>46097879</v>
      </c>
      <c r="Q73" s="59">
        <f t="shared" si="66"/>
        <v>0.34145887142857145</v>
      </c>
      <c r="R73" s="55" t="str">
        <f t="shared" si="81"/>
        <v>Nivel Aceptable del Indicador</v>
      </c>
      <c r="S73" s="218">
        <v>140000000</v>
      </c>
      <c r="T73" s="215">
        <v>0.75</v>
      </c>
      <c r="U73" s="250">
        <f t="shared" si="71"/>
        <v>105000000</v>
      </c>
      <c r="V73" s="248">
        <v>54659568</v>
      </c>
      <c r="W73" s="248">
        <f t="shared" si="72"/>
        <v>50340432</v>
      </c>
      <c r="X73" s="59">
        <f t="shared" si="23"/>
        <v>0.52056731428571423</v>
      </c>
      <c r="Y73" s="249" t="str">
        <f t="shared" si="24"/>
        <v>Nivel Aceptable del Indicador</v>
      </c>
      <c r="Z73" s="70"/>
      <c r="AA73" s="70"/>
      <c r="AB73" s="70">
        <f t="shared" si="73"/>
        <v>0</v>
      </c>
      <c r="AC73" s="59" t="str">
        <f t="shared" si="74"/>
        <v/>
      </c>
      <c r="AD73" s="55" t="str">
        <f t="shared" si="75"/>
        <v/>
      </c>
      <c r="AH73" s="79">
        <f t="shared" si="76"/>
        <v>4.0602571428571431E-3</v>
      </c>
      <c r="AI73" s="79">
        <f t="shared" si="77"/>
        <v>0.17072943571428573</v>
      </c>
      <c r="AJ73" s="79">
        <f t="shared" si="78"/>
        <v>0.3904254857142857</v>
      </c>
      <c r="AK73" s="79">
        <f t="shared" si="79"/>
        <v>0</v>
      </c>
    </row>
    <row r="74" spans="1:37" ht="21" customHeight="1" x14ac:dyDescent="0.25">
      <c r="A74" s="91" t="s">
        <v>384</v>
      </c>
      <c r="B74" s="91" t="s">
        <v>327</v>
      </c>
      <c r="C74" s="92" t="s">
        <v>386</v>
      </c>
      <c r="D74" s="93" t="s">
        <v>363</v>
      </c>
      <c r="E74" s="121">
        <v>2000000000</v>
      </c>
      <c r="F74" s="207">
        <v>0.25</v>
      </c>
      <c r="G74" s="121">
        <v>1348494764</v>
      </c>
      <c r="H74" s="121">
        <v>1348494764</v>
      </c>
      <c r="I74" s="67">
        <f t="shared" si="68"/>
        <v>0</v>
      </c>
      <c r="J74" s="68">
        <f t="shared" si="65"/>
        <v>1</v>
      </c>
      <c r="K74" s="55" t="str">
        <f t="shared" si="80"/>
        <v>Nivel del indicador que satisface y supera las expectativas</v>
      </c>
      <c r="L74" s="179">
        <v>2000000000</v>
      </c>
      <c r="M74" s="207">
        <v>0.5</v>
      </c>
      <c r="N74" s="179">
        <v>1351092669</v>
      </c>
      <c r="O74" s="179">
        <v>1351092669</v>
      </c>
      <c r="P74" s="70">
        <f t="shared" si="70"/>
        <v>0</v>
      </c>
      <c r="Q74" s="59">
        <f t="shared" si="66"/>
        <v>1</v>
      </c>
      <c r="R74" s="55" t="str">
        <f t="shared" si="81"/>
        <v>Nivel del indicador que satisface y supera las expectativas</v>
      </c>
      <c r="S74" s="217">
        <v>2000000000</v>
      </c>
      <c r="T74" s="215">
        <v>0.75</v>
      </c>
      <c r="U74" s="248">
        <f t="shared" si="71"/>
        <v>1500000000</v>
      </c>
      <c r="V74" s="251">
        <v>1419022666</v>
      </c>
      <c r="W74" s="248">
        <f t="shared" si="72"/>
        <v>80977334</v>
      </c>
      <c r="X74" s="59">
        <f t="shared" ref="X74:X118" si="82">IFERROR((V74/U74),0)</f>
        <v>0.94601511066666666</v>
      </c>
      <c r="Y74" s="249" t="str">
        <f t="shared" ref="Y74:Y118" si="83">IF(AND(U74&gt;0,V74=""),"¡¡Ojo No se Ejecuto Presupuesto!!",IF(X74="","",IF(X74&lt;24.99%,"Se ha avanzado muy poco o nada en este indicador",IF(X74&lt;=55.99%,"Nivel Aceptable del Indicador",IF(X74&lt;=74.99%,"Nivel del indicador que cumple las expectativas","Nivel del indicador que satisface y supera las expectativas")))))</f>
        <v>Nivel del indicador que satisface y supera las expectativas</v>
      </c>
      <c r="Z74" s="70"/>
      <c r="AA74" s="70"/>
      <c r="AB74" s="70">
        <f t="shared" si="73"/>
        <v>0</v>
      </c>
      <c r="AC74" s="59" t="str">
        <f t="shared" si="74"/>
        <v/>
      </c>
      <c r="AD74" s="55" t="str">
        <f t="shared" si="75"/>
        <v/>
      </c>
      <c r="AH74" s="79">
        <f t="shared" si="76"/>
        <v>0.67424738200000001</v>
      </c>
      <c r="AI74" s="79">
        <f t="shared" si="77"/>
        <v>0.67554633450000001</v>
      </c>
      <c r="AJ74" s="79">
        <f t="shared" si="78"/>
        <v>0.70951133300000002</v>
      </c>
      <c r="AK74" s="79">
        <f t="shared" si="79"/>
        <v>0</v>
      </c>
    </row>
    <row r="75" spans="1:37" ht="21" customHeight="1" x14ac:dyDescent="0.25">
      <c r="A75" s="91" t="s">
        <v>384</v>
      </c>
      <c r="B75" s="91" t="s">
        <v>329</v>
      </c>
      <c r="C75" s="92" t="s">
        <v>387</v>
      </c>
      <c r="D75" s="93" t="s">
        <v>363</v>
      </c>
      <c r="E75" s="121">
        <v>220000000</v>
      </c>
      <c r="F75" s="207">
        <v>0.25</v>
      </c>
      <c r="G75" s="121">
        <v>57716612</v>
      </c>
      <c r="H75" s="121">
        <v>57716612</v>
      </c>
      <c r="I75" s="67">
        <f t="shared" si="68"/>
        <v>0</v>
      </c>
      <c r="J75" s="68">
        <f t="shared" si="65"/>
        <v>1</v>
      </c>
      <c r="K75" s="55" t="str">
        <f t="shared" si="80"/>
        <v>Nivel del indicador que satisface y supera las expectativas</v>
      </c>
      <c r="L75" s="179">
        <v>220000000</v>
      </c>
      <c r="M75" s="207">
        <v>0.5</v>
      </c>
      <c r="N75" s="179">
        <v>147704404</v>
      </c>
      <c r="O75" s="179">
        <v>147704404</v>
      </c>
      <c r="P75" s="70">
        <f t="shared" si="70"/>
        <v>0</v>
      </c>
      <c r="Q75" s="59">
        <f t="shared" si="66"/>
        <v>1</v>
      </c>
      <c r="R75" s="55" t="str">
        <f t="shared" si="81"/>
        <v>Nivel del indicador que satisface y supera las expectativas</v>
      </c>
      <c r="S75" s="218">
        <v>220000000</v>
      </c>
      <c r="T75" s="215">
        <v>0.75</v>
      </c>
      <c r="U75" s="248">
        <f t="shared" si="71"/>
        <v>165000000</v>
      </c>
      <c r="V75" s="248">
        <v>160823586</v>
      </c>
      <c r="W75" s="248">
        <f t="shared" si="72"/>
        <v>4176414</v>
      </c>
      <c r="X75" s="59">
        <f t="shared" si="82"/>
        <v>0.97468840000000001</v>
      </c>
      <c r="Y75" s="249" t="str">
        <f t="shared" si="83"/>
        <v>Nivel del indicador que satisface y supera las expectativas</v>
      </c>
      <c r="Z75" s="70"/>
      <c r="AA75" s="70"/>
      <c r="AB75" s="70">
        <f t="shared" si="73"/>
        <v>0</v>
      </c>
      <c r="AC75" s="59" t="str">
        <f t="shared" si="74"/>
        <v/>
      </c>
      <c r="AD75" s="55" t="str">
        <f t="shared" si="75"/>
        <v/>
      </c>
      <c r="AH75" s="79">
        <f t="shared" si="76"/>
        <v>0.26234823636363636</v>
      </c>
      <c r="AI75" s="79">
        <f t="shared" si="77"/>
        <v>0.67138365454545457</v>
      </c>
      <c r="AJ75" s="79">
        <f t="shared" si="78"/>
        <v>0.73101629999999995</v>
      </c>
      <c r="AK75" s="79">
        <f t="shared" si="79"/>
        <v>0</v>
      </c>
    </row>
    <row r="76" spans="1:37" ht="75" x14ac:dyDescent="0.25">
      <c r="A76" s="91" t="s">
        <v>384</v>
      </c>
      <c r="B76" s="91" t="s">
        <v>331</v>
      </c>
      <c r="C76" s="92" t="s">
        <v>388</v>
      </c>
      <c r="D76" s="93" t="s">
        <v>410</v>
      </c>
      <c r="E76" s="121">
        <v>141421128</v>
      </c>
      <c r="F76" s="207">
        <v>0.25</v>
      </c>
      <c r="G76" s="116">
        <f t="shared" si="67"/>
        <v>35355282</v>
      </c>
      <c r="H76" s="121">
        <v>11072825</v>
      </c>
      <c r="I76" s="67">
        <f t="shared" si="68"/>
        <v>24282457</v>
      </c>
      <c r="J76" s="68">
        <f t="shared" si="65"/>
        <v>0.31318729122285038</v>
      </c>
      <c r="K76" s="55" t="str">
        <f t="shared" si="80"/>
        <v>Nivel del indicador que satisface y supera las expectativas</v>
      </c>
      <c r="L76" s="179">
        <v>146421128</v>
      </c>
      <c r="M76" s="207">
        <v>0.5</v>
      </c>
      <c r="N76" s="116">
        <f t="shared" si="69"/>
        <v>73210564</v>
      </c>
      <c r="O76" s="179">
        <v>50537420</v>
      </c>
      <c r="P76" s="70">
        <f t="shared" si="70"/>
        <v>22673144</v>
      </c>
      <c r="Q76" s="59">
        <f t="shared" si="66"/>
        <v>0.690302290254177</v>
      </c>
      <c r="R76" s="55" t="str">
        <f t="shared" si="81"/>
        <v>Nivel del indicador que satisface y supera las expectativas</v>
      </c>
      <c r="S76" s="218">
        <v>169421128</v>
      </c>
      <c r="T76" s="215">
        <v>0.75</v>
      </c>
      <c r="U76" s="248">
        <f t="shared" si="71"/>
        <v>127065846</v>
      </c>
      <c r="V76" s="248">
        <v>96454407</v>
      </c>
      <c r="W76" s="248">
        <f t="shared" si="72"/>
        <v>30611439</v>
      </c>
      <c r="X76" s="59">
        <f t="shared" si="82"/>
        <v>0.7590899524644884</v>
      </c>
      <c r="Y76" s="249" t="str">
        <f t="shared" si="83"/>
        <v>Nivel del indicador que satisface y supera las expectativas</v>
      </c>
      <c r="Z76" s="70"/>
      <c r="AA76" s="70"/>
      <c r="AB76" s="70">
        <f t="shared" si="73"/>
        <v>0</v>
      </c>
      <c r="AC76" s="59" t="str">
        <f t="shared" si="74"/>
        <v/>
      </c>
      <c r="AD76" s="55" t="str">
        <f t="shared" si="75"/>
        <v/>
      </c>
      <c r="AH76" s="79">
        <f t="shared" si="76"/>
        <v>7.8296822805712596E-2</v>
      </c>
      <c r="AI76" s="79">
        <f t="shared" si="77"/>
        <v>0.3451511451270885</v>
      </c>
      <c r="AJ76" s="79">
        <f t="shared" si="78"/>
        <v>0.56931746434836628</v>
      </c>
      <c r="AK76" s="79">
        <f t="shared" si="79"/>
        <v>0</v>
      </c>
    </row>
    <row r="77" spans="1:37" ht="37.5" customHeight="1" x14ac:dyDescent="0.25">
      <c r="A77" s="91" t="s">
        <v>384</v>
      </c>
      <c r="B77" s="91" t="s">
        <v>389</v>
      </c>
      <c r="C77" s="92" t="s">
        <v>390</v>
      </c>
      <c r="D77" s="93" t="s">
        <v>411</v>
      </c>
      <c r="E77" s="121">
        <v>10842256</v>
      </c>
      <c r="F77" s="207">
        <v>0.25</v>
      </c>
      <c r="G77" s="116">
        <f t="shared" si="67"/>
        <v>2710564</v>
      </c>
      <c r="H77" s="121">
        <v>0.1</v>
      </c>
      <c r="I77" s="67">
        <f t="shared" si="68"/>
        <v>2710563.9</v>
      </c>
      <c r="J77" s="68">
        <f t="shared" si="65"/>
        <v>3.6892690967636256E-8</v>
      </c>
      <c r="K77" s="55" t="str">
        <f t="shared" si="80"/>
        <v>Se ha avanzado muy poco o nada en este indicador</v>
      </c>
      <c r="L77" s="179">
        <v>10842256</v>
      </c>
      <c r="M77" s="207">
        <v>0.5</v>
      </c>
      <c r="N77" s="116">
        <f t="shared" si="69"/>
        <v>5421128</v>
      </c>
      <c r="O77" s="179">
        <v>47000</v>
      </c>
      <c r="P77" s="70">
        <f t="shared" si="70"/>
        <v>5374128</v>
      </c>
      <c r="Q77" s="59">
        <f t="shared" si="66"/>
        <v>8.6697823773945193E-3</v>
      </c>
      <c r="R77" s="55" t="str">
        <f t="shared" si="81"/>
        <v>Se ha avanzado muy poco o nada en este indicador</v>
      </c>
      <c r="S77" s="218">
        <v>10842256</v>
      </c>
      <c r="T77" s="215">
        <v>0.75</v>
      </c>
      <c r="U77" s="250">
        <f t="shared" si="71"/>
        <v>8131692</v>
      </c>
      <c r="V77" s="248">
        <v>1291375</v>
      </c>
      <c r="W77" s="248">
        <f t="shared" si="72"/>
        <v>6840317</v>
      </c>
      <c r="X77" s="59">
        <f t="shared" si="82"/>
        <v>0.15880766266110424</v>
      </c>
      <c r="Y77" s="249" t="str">
        <f t="shared" si="83"/>
        <v>Se ha avanzado muy poco o nada en este indicador</v>
      </c>
      <c r="Z77" s="70"/>
      <c r="AA77" s="70"/>
      <c r="AB77" s="70">
        <f t="shared" si="73"/>
        <v>0</v>
      </c>
      <c r="AC77" s="59" t="str">
        <f t="shared" si="74"/>
        <v/>
      </c>
      <c r="AD77" s="55" t="str">
        <f t="shared" si="75"/>
        <v/>
      </c>
      <c r="AH77" s="79">
        <f t="shared" si="76"/>
        <v>9.2231727419090641E-9</v>
      </c>
      <c r="AI77" s="79">
        <f t="shared" si="77"/>
        <v>4.3348911886972596E-3</v>
      </c>
      <c r="AJ77" s="79">
        <f t="shared" si="78"/>
        <v>0.11910574699582817</v>
      </c>
      <c r="AK77" s="79">
        <f t="shared" si="79"/>
        <v>0</v>
      </c>
    </row>
    <row r="78" spans="1:37" ht="96.75" customHeight="1" x14ac:dyDescent="0.25">
      <c r="A78" s="91" t="s">
        <v>384</v>
      </c>
      <c r="B78" s="91" t="s">
        <v>391</v>
      </c>
      <c r="C78" s="92" t="s">
        <v>392</v>
      </c>
      <c r="D78" s="93" t="s">
        <v>412</v>
      </c>
      <c r="E78" s="121">
        <v>335700000</v>
      </c>
      <c r="F78" s="207">
        <v>0.25</v>
      </c>
      <c r="G78" s="121">
        <v>256870639</v>
      </c>
      <c r="H78" s="121">
        <v>256870639</v>
      </c>
      <c r="I78" s="67">
        <f t="shared" si="68"/>
        <v>0</v>
      </c>
      <c r="J78" s="68">
        <f t="shared" si="65"/>
        <v>1</v>
      </c>
      <c r="K78" s="55" t="str">
        <f t="shared" si="80"/>
        <v>Nivel del indicador que satisface y supera las expectativas</v>
      </c>
      <c r="L78" s="179">
        <v>494014421</v>
      </c>
      <c r="M78" s="207">
        <v>0.5</v>
      </c>
      <c r="N78" s="179">
        <v>297488049</v>
      </c>
      <c r="O78" s="179">
        <v>297488049</v>
      </c>
      <c r="P78" s="70">
        <f t="shared" si="70"/>
        <v>0</v>
      </c>
      <c r="Q78" s="59">
        <f t="shared" si="66"/>
        <v>1</v>
      </c>
      <c r="R78" s="55" t="str">
        <f t="shared" si="81"/>
        <v>Nivel del indicador que satisface y supera las expectativas</v>
      </c>
      <c r="S78" s="218">
        <v>494014421</v>
      </c>
      <c r="T78" s="215">
        <v>0.75</v>
      </c>
      <c r="U78" s="248">
        <v>466337211</v>
      </c>
      <c r="V78" s="248">
        <v>466337211</v>
      </c>
      <c r="W78" s="248">
        <f t="shared" si="72"/>
        <v>0</v>
      </c>
      <c r="X78" s="59">
        <f t="shared" si="82"/>
        <v>1</v>
      </c>
      <c r="Y78" s="249" t="str">
        <f t="shared" si="83"/>
        <v>Nivel del indicador que satisface y supera las expectativas</v>
      </c>
      <c r="Z78" s="70"/>
      <c r="AA78" s="70"/>
      <c r="AB78" s="70">
        <f t="shared" si="73"/>
        <v>0</v>
      </c>
      <c r="AC78" s="59" t="str">
        <f t="shared" si="74"/>
        <v/>
      </c>
      <c r="AD78" s="55" t="str">
        <f t="shared" si="75"/>
        <v/>
      </c>
      <c r="AH78" s="79">
        <f t="shared" si="76"/>
        <v>0.76517914507000295</v>
      </c>
      <c r="AI78" s="79">
        <f t="shared" si="77"/>
        <v>0.60218494917175702</v>
      </c>
      <c r="AJ78" s="79">
        <f t="shared" si="78"/>
        <v>0.9439748946114267</v>
      </c>
      <c r="AK78" s="79">
        <f t="shared" si="79"/>
        <v>0</v>
      </c>
    </row>
    <row r="79" spans="1:37" ht="60" x14ac:dyDescent="0.25">
      <c r="A79" s="91" t="s">
        <v>384</v>
      </c>
      <c r="B79" s="91" t="s">
        <v>393</v>
      </c>
      <c r="C79" s="92" t="s">
        <v>394</v>
      </c>
      <c r="D79" s="93" t="s">
        <v>367</v>
      </c>
      <c r="E79" s="121">
        <v>8000000</v>
      </c>
      <c r="F79" s="207">
        <v>0.25</v>
      </c>
      <c r="G79" s="121">
        <v>8000000</v>
      </c>
      <c r="H79" s="121">
        <v>8000000</v>
      </c>
      <c r="I79" s="67">
        <f t="shared" si="68"/>
        <v>0</v>
      </c>
      <c r="J79" s="68">
        <f t="shared" si="65"/>
        <v>1</v>
      </c>
      <c r="K79" s="55" t="str">
        <f t="shared" si="80"/>
        <v>Nivel del indicador que satisface y supera las expectativas</v>
      </c>
      <c r="L79" s="179">
        <v>8000000</v>
      </c>
      <c r="M79" s="207">
        <v>0.5</v>
      </c>
      <c r="N79" s="179">
        <v>8000000</v>
      </c>
      <c r="O79" s="179">
        <v>8000000</v>
      </c>
      <c r="P79" s="70">
        <f t="shared" si="70"/>
        <v>0</v>
      </c>
      <c r="Q79" s="59">
        <f t="shared" si="66"/>
        <v>1</v>
      </c>
      <c r="R79" s="55" t="str">
        <f t="shared" si="81"/>
        <v>Nivel del indicador que satisface y supera las expectativas</v>
      </c>
      <c r="S79" s="218">
        <v>8000000</v>
      </c>
      <c r="T79" s="215">
        <v>0.75</v>
      </c>
      <c r="U79" s="248">
        <v>8000000</v>
      </c>
      <c r="V79" s="248">
        <v>8000000</v>
      </c>
      <c r="W79" s="248">
        <f t="shared" si="72"/>
        <v>0</v>
      </c>
      <c r="X79" s="59">
        <f t="shared" si="82"/>
        <v>1</v>
      </c>
      <c r="Y79" s="249" t="str">
        <f t="shared" si="83"/>
        <v>Nivel del indicador que satisface y supera las expectativas</v>
      </c>
      <c r="Z79" s="70"/>
      <c r="AA79" s="70"/>
      <c r="AB79" s="70">
        <f t="shared" si="73"/>
        <v>0</v>
      </c>
      <c r="AC79" s="59" t="str">
        <f t="shared" si="74"/>
        <v/>
      </c>
      <c r="AD79" s="55" t="str">
        <f t="shared" si="75"/>
        <v/>
      </c>
      <c r="AH79" s="79">
        <f t="shared" si="76"/>
        <v>1</v>
      </c>
      <c r="AI79" s="79">
        <f t="shared" si="77"/>
        <v>1</v>
      </c>
      <c r="AJ79" s="79">
        <f t="shared" si="78"/>
        <v>1</v>
      </c>
      <c r="AK79" s="79">
        <f t="shared" si="79"/>
        <v>0</v>
      </c>
    </row>
    <row r="80" spans="1:37" ht="30" x14ac:dyDescent="0.25">
      <c r="A80" s="91" t="s">
        <v>395</v>
      </c>
      <c r="B80" s="91" t="s">
        <v>334</v>
      </c>
      <c r="C80" s="92" t="s">
        <v>396</v>
      </c>
      <c r="D80" s="93" t="s">
        <v>363</v>
      </c>
      <c r="E80" s="121">
        <v>31230000</v>
      </c>
      <c r="F80" s="207">
        <v>0.25</v>
      </c>
      <c r="G80" s="116">
        <f t="shared" si="67"/>
        <v>7807500</v>
      </c>
      <c r="H80" s="121">
        <v>3840000</v>
      </c>
      <c r="I80" s="67">
        <f t="shared" si="68"/>
        <v>3967500</v>
      </c>
      <c r="J80" s="68">
        <f t="shared" si="65"/>
        <v>0.49183477425552352</v>
      </c>
      <c r="K80" s="55" t="str">
        <f t="shared" si="80"/>
        <v>Nivel del indicador que satisface y supera las expectativas</v>
      </c>
      <c r="L80" s="179">
        <v>31230000</v>
      </c>
      <c r="M80" s="207">
        <v>0.5</v>
      </c>
      <c r="N80" s="116">
        <f t="shared" si="69"/>
        <v>15615000</v>
      </c>
      <c r="O80" s="179">
        <v>4913428</v>
      </c>
      <c r="P80" s="70">
        <f t="shared" si="70"/>
        <v>10701572</v>
      </c>
      <c r="Q80" s="59">
        <f t="shared" si="66"/>
        <v>0.31466077489593341</v>
      </c>
      <c r="R80" s="55" t="str">
        <f t="shared" si="81"/>
        <v>Nivel Aceptable del Indicador</v>
      </c>
      <c r="S80" s="218">
        <v>31230000</v>
      </c>
      <c r="T80" s="215">
        <v>0.75</v>
      </c>
      <c r="U80" s="248">
        <f t="shared" si="71"/>
        <v>23422500</v>
      </c>
      <c r="V80" s="248">
        <v>10483416</v>
      </c>
      <c r="W80" s="248">
        <f t="shared" si="72"/>
        <v>12939084</v>
      </c>
      <c r="X80" s="59">
        <f t="shared" si="82"/>
        <v>0.4475788664745437</v>
      </c>
      <c r="Y80" s="249" t="str">
        <f t="shared" si="83"/>
        <v>Nivel Aceptable del Indicador</v>
      </c>
      <c r="Z80" s="70"/>
      <c r="AA80" s="70"/>
      <c r="AB80" s="70">
        <f t="shared" si="73"/>
        <v>0</v>
      </c>
      <c r="AC80" s="59" t="str">
        <f t="shared" si="74"/>
        <v/>
      </c>
      <c r="AD80" s="55" t="str">
        <f t="shared" si="75"/>
        <v/>
      </c>
      <c r="AH80" s="79">
        <f t="shared" si="76"/>
        <v>0.12295869356388088</v>
      </c>
      <c r="AI80" s="79">
        <f t="shared" si="77"/>
        <v>0.15733038744796671</v>
      </c>
      <c r="AJ80" s="79">
        <f t="shared" si="78"/>
        <v>0.33568414985590778</v>
      </c>
      <c r="AK80" s="79">
        <f t="shared" si="79"/>
        <v>0</v>
      </c>
    </row>
    <row r="81" spans="1:37" ht="45" x14ac:dyDescent="0.25">
      <c r="A81" s="91" t="s">
        <v>395</v>
      </c>
      <c r="B81" s="91" t="s">
        <v>397</v>
      </c>
      <c r="C81" s="92" t="s">
        <v>398</v>
      </c>
      <c r="D81" s="93" t="s">
        <v>369</v>
      </c>
      <c r="E81" s="121">
        <v>20000000</v>
      </c>
      <c r="F81" s="207">
        <v>0.25</v>
      </c>
      <c r="G81" s="116">
        <f t="shared" si="67"/>
        <v>5000000</v>
      </c>
      <c r="H81" s="121">
        <v>0.1</v>
      </c>
      <c r="I81" s="67">
        <f t="shared" si="68"/>
        <v>4999999.9000000004</v>
      </c>
      <c r="J81" s="68">
        <f t="shared" si="65"/>
        <v>2E-8</v>
      </c>
      <c r="K81" s="55" t="str">
        <f t="shared" si="80"/>
        <v>Se ha avanzado muy poco o nada en este indicador</v>
      </c>
      <c r="L81" s="179">
        <v>20000000</v>
      </c>
      <c r="M81" s="207">
        <v>0.5</v>
      </c>
      <c r="N81" s="116">
        <f t="shared" si="69"/>
        <v>10000000</v>
      </c>
      <c r="O81" s="179">
        <v>0.1</v>
      </c>
      <c r="P81" s="70">
        <f t="shared" si="70"/>
        <v>9999999.9000000004</v>
      </c>
      <c r="Q81" s="59">
        <f t="shared" si="66"/>
        <v>1E-8</v>
      </c>
      <c r="R81" s="55" t="str">
        <f t="shared" ref="R81:R85" si="84">IF(AND(L81&gt;0,O81=""),"¡¡Ojo No se Ejecuto Presupuesto!!",IF(Q81=0%,"",IF(Q81&lt;16%,"Se ha avanzado muy poco o nada en este indicador",IF(Q81&lt;=37%,"Nivel Aceptable del Indicador",IF(Q81&lt;=50%,"Nivel del indicador que cumple las expectativas","Nivel del indicador que satisface y supera las expectativas")))))</f>
        <v>Se ha avanzado muy poco o nada en este indicador</v>
      </c>
      <c r="S81" s="218">
        <v>20000000</v>
      </c>
      <c r="T81" s="215">
        <v>0.75</v>
      </c>
      <c r="U81" s="248">
        <v>15685604</v>
      </c>
      <c r="V81" s="248">
        <v>15685604</v>
      </c>
      <c r="W81" s="248">
        <f t="shared" si="72"/>
        <v>0</v>
      </c>
      <c r="X81" s="59">
        <f t="shared" si="82"/>
        <v>1</v>
      </c>
      <c r="Y81" s="249" t="str">
        <f t="shared" si="83"/>
        <v>Nivel del indicador que satisface y supera las expectativas</v>
      </c>
      <c r="Z81" s="70"/>
      <c r="AA81" s="70"/>
      <c r="AB81" s="70">
        <f t="shared" si="73"/>
        <v>0</v>
      </c>
      <c r="AC81" s="59" t="str">
        <f t="shared" si="74"/>
        <v/>
      </c>
      <c r="AD81" s="55" t="str">
        <f t="shared" si="75"/>
        <v/>
      </c>
      <c r="AH81" s="79">
        <f t="shared" si="76"/>
        <v>5.0000000000000001E-9</v>
      </c>
      <c r="AI81" s="79">
        <f t="shared" si="77"/>
        <v>5.0000000000000001E-9</v>
      </c>
      <c r="AJ81" s="79">
        <f t="shared" si="78"/>
        <v>0.78428019999999998</v>
      </c>
      <c r="AK81" s="79">
        <f t="shared" si="79"/>
        <v>0</v>
      </c>
    </row>
    <row r="82" spans="1:37" ht="37.5" customHeight="1" x14ac:dyDescent="0.25">
      <c r="A82" s="91" t="s">
        <v>399</v>
      </c>
      <c r="B82" s="91" t="s">
        <v>337</v>
      </c>
      <c r="C82" s="92" t="s">
        <v>400</v>
      </c>
      <c r="D82" s="93" t="s">
        <v>411</v>
      </c>
      <c r="E82" s="121">
        <v>21000000</v>
      </c>
      <c r="F82" s="207">
        <v>0.25</v>
      </c>
      <c r="G82" s="121">
        <v>15723333</v>
      </c>
      <c r="H82" s="121">
        <v>15723333</v>
      </c>
      <c r="I82" s="67">
        <f t="shared" si="68"/>
        <v>0</v>
      </c>
      <c r="J82" s="68">
        <f t="shared" si="65"/>
        <v>1</v>
      </c>
      <c r="K82" s="55" t="str">
        <f t="shared" si="80"/>
        <v>Nivel del indicador que satisface y supera las expectativas</v>
      </c>
      <c r="L82" s="179">
        <v>21000000</v>
      </c>
      <c r="M82" s="207">
        <v>0.5</v>
      </c>
      <c r="N82" s="179">
        <v>18973333</v>
      </c>
      <c r="O82" s="179">
        <v>18973333</v>
      </c>
      <c r="P82" s="70">
        <f t="shared" si="70"/>
        <v>0</v>
      </c>
      <c r="Q82" s="59">
        <f t="shared" si="66"/>
        <v>1</v>
      </c>
      <c r="R82" s="55" t="str">
        <f t="shared" si="84"/>
        <v>Nivel del indicador que satisface y supera las expectativas</v>
      </c>
      <c r="S82" s="218">
        <v>21000000</v>
      </c>
      <c r="T82" s="215">
        <v>0.75</v>
      </c>
      <c r="U82" s="248">
        <v>18973333</v>
      </c>
      <c r="V82" s="248">
        <v>18973333</v>
      </c>
      <c r="W82" s="248">
        <f t="shared" si="72"/>
        <v>0</v>
      </c>
      <c r="X82" s="59">
        <f t="shared" si="82"/>
        <v>1</v>
      </c>
      <c r="Y82" s="249" t="str">
        <f t="shared" si="83"/>
        <v>Nivel del indicador que satisface y supera las expectativas</v>
      </c>
      <c r="Z82" s="70"/>
      <c r="AA82" s="70"/>
      <c r="AB82" s="70">
        <f t="shared" si="73"/>
        <v>0</v>
      </c>
      <c r="AC82" s="59" t="str">
        <f t="shared" si="74"/>
        <v/>
      </c>
      <c r="AD82" s="55" t="str">
        <f t="shared" si="75"/>
        <v/>
      </c>
      <c r="AH82" s="79">
        <f t="shared" si="76"/>
        <v>0.7487301428571429</v>
      </c>
      <c r="AI82" s="79">
        <f t="shared" si="77"/>
        <v>0.90349204761904767</v>
      </c>
      <c r="AJ82" s="79">
        <f t="shared" si="78"/>
        <v>0.90349204761904767</v>
      </c>
      <c r="AK82" s="79">
        <f t="shared" si="79"/>
        <v>0</v>
      </c>
    </row>
    <row r="83" spans="1:37" ht="32.25" customHeight="1" x14ac:dyDescent="0.25">
      <c r="A83" s="91" t="s">
        <v>401</v>
      </c>
      <c r="B83" s="91" t="s">
        <v>342</v>
      </c>
      <c r="C83" s="92" t="s">
        <v>402</v>
      </c>
      <c r="D83" s="93" t="s">
        <v>363</v>
      </c>
      <c r="E83" s="121">
        <v>30000000</v>
      </c>
      <c r="F83" s="207">
        <v>0.25</v>
      </c>
      <c r="G83" s="121">
        <v>24961000</v>
      </c>
      <c r="H83" s="121">
        <v>24961000</v>
      </c>
      <c r="I83" s="67">
        <f t="shared" si="68"/>
        <v>0</v>
      </c>
      <c r="J83" s="68">
        <f t="shared" si="65"/>
        <v>1</v>
      </c>
      <c r="K83" s="55" t="str">
        <f t="shared" si="80"/>
        <v>Nivel del indicador que satisface y supera las expectativas</v>
      </c>
      <c r="L83" s="179">
        <v>30000000</v>
      </c>
      <c r="M83" s="207">
        <v>0.5</v>
      </c>
      <c r="N83" s="179">
        <v>24961000</v>
      </c>
      <c r="O83" s="179">
        <v>24961000</v>
      </c>
      <c r="P83" s="70">
        <f t="shared" si="70"/>
        <v>0</v>
      </c>
      <c r="Q83" s="59">
        <f t="shared" si="66"/>
        <v>1</v>
      </c>
      <c r="R83" s="55" t="str">
        <f t="shared" si="84"/>
        <v>Nivel del indicador que satisface y supera las expectativas</v>
      </c>
      <c r="S83" s="218">
        <v>30000000</v>
      </c>
      <c r="T83" s="215">
        <v>0.75</v>
      </c>
      <c r="U83" s="248">
        <v>29559562</v>
      </c>
      <c r="V83" s="248">
        <v>29559562</v>
      </c>
      <c r="W83" s="248">
        <f t="shared" si="72"/>
        <v>0</v>
      </c>
      <c r="X83" s="59">
        <f t="shared" si="82"/>
        <v>1</v>
      </c>
      <c r="Y83" s="249" t="str">
        <f t="shared" si="83"/>
        <v>Nivel del indicador que satisface y supera las expectativas</v>
      </c>
      <c r="Z83" s="70"/>
      <c r="AA83" s="70"/>
      <c r="AB83" s="70">
        <f t="shared" si="73"/>
        <v>0</v>
      </c>
      <c r="AC83" s="59" t="str">
        <f t="shared" si="74"/>
        <v/>
      </c>
      <c r="AD83" s="55" t="str">
        <f t="shared" si="75"/>
        <v/>
      </c>
      <c r="AH83" s="79">
        <f t="shared" si="76"/>
        <v>0.83203333333333329</v>
      </c>
      <c r="AI83" s="79">
        <f t="shared" si="77"/>
        <v>0.83203333333333329</v>
      </c>
      <c r="AJ83" s="79">
        <f t="shared" si="78"/>
        <v>0.98531873333333331</v>
      </c>
      <c r="AK83" s="79">
        <f t="shared" si="79"/>
        <v>0</v>
      </c>
    </row>
    <row r="84" spans="1:37" ht="30" x14ac:dyDescent="0.25">
      <c r="A84" s="91" t="s">
        <v>403</v>
      </c>
      <c r="B84" s="91" t="s">
        <v>347</v>
      </c>
      <c r="C84" s="92" t="s">
        <v>404</v>
      </c>
      <c r="D84" s="93" t="s">
        <v>363</v>
      </c>
      <c r="E84" s="121">
        <v>6000000</v>
      </c>
      <c r="F84" s="207">
        <v>0.25</v>
      </c>
      <c r="G84" s="116">
        <f t="shared" si="67"/>
        <v>1500000</v>
      </c>
      <c r="H84" s="121">
        <v>0.1</v>
      </c>
      <c r="I84" s="67">
        <f t="shared" si="68"/>
        <v>1499999.9</v>
      </c>
      <c r="J84" s="68">
        <f t="shared" si="65"/>
        <v>6.6666666666666668E-8</v>
      </c>
      <c r="K84" s="55" t="str">
        <f t="shared" ref="K84:K92" si="85">IF(AND(E84&gt;0,H84=""),"¡¡Ojo No se Ejecuto Presupuesto!!",IF(J84=0%,"",IF(J84&lt;9%,"Se ha avanzado muy poco o nada en este indicador",IF(J84&lt;=20%,"Nivel Aceptable del Indicador",IF(J84&lt;=25%,"Nivel del indicador que cumple las expectativas","Nivel del indicador que satisface y supera las expectativas")))))</f>
        <v>Se ha avanzado muy poco o nada en este indicador</v>
      </c>
      <c r="L84" s="179">
        <v>6000000</v>
      </c>
      <c r="M84" s="207">
        <v>0.5</v>
      </c>
      <c r="N84" s="116">
        <f t="shared" si="69"/>
        <v>3000000</v>
      </c>
      <c r="O84" s="179">
        <v>0.1</v>
      </c>
      <c r="P84" s="70">
        <f t="shared" si="70"/>
        <v>2999999.9</v>
      </c>
      <c r="Q84" s="59">
        <f t="shared" si="66"/>
        <v>3.3333333333333334E-8</v>
      </c>
      <c r="R84" s="55" t="str">
        <f t="shared" si="84"/>
        <v>Se ha avanzado muy poco o nada en este indicador</v>
      </c>
      <c r="S84" s="218">
        <v>6000000</v>
      </c>
      <c r="T84" s="215">
        <v>0.75</v>
      </c>
      <c r="U84" s="248">
        <f t="shared" si="71"/>
        <v>4500000</v>
      </c>
      <c r="V84" s="248">
        <v>0</v>
      </c>
      <c r="W84" s="248">
        <f t="shared" si="72"/>
        <v>4500000</v>
      </c>
      <c r="X84" s="59">
        <f t="shared" si="82"/>
        <v>0</v>
      </c>
      <c r="Y84" s="249" t="str">
        <f t="shared" si="83"/>
        <v>Se ha avanzado muy poco o nada en este indicador</v>
      </c>
      <c r="Z84" s="70"/>
      <c r="AA84" s="70"/>
      <c r="AB84" s="70">
        <f t="shared" si="73"/>
        <v>0</v>
      </c>
      <c r="AC84" s="59" t="str">
        <f t="shared" si="74"/>
        <v/>
      </c>
      <c r="AD84" s="55" t="str">
        <f t="shared" si="75"/>
        <v/>
      </c>
      <c r="AH84" s="79">
        <f t="shared" si="76"/>
        <v>1.6666666666666667E-8</v>
      </c>
      <c r="AI84" s="79">
        <f t="shared" si="77"/>
        <v>1.6666666666666667E-8</v>
      </c>
      <c r="AJ84" s="79">
        <f t="shared" si="78"/>
        <v>0</v>
      </c>
      <c r="AK84" s="79">
        <f t="shared" si="79"/>
        <v>0</v>
      </c>
    </row>
    <row r="85" spans="1:37" ht="45" x14ac:dyDescent="0.25">
      <c r="A85" s="91" t="s">
        <v>405</v>
      </c>
      <c r="B85" s="91" t="s">
        <v>350</v>
      </c>
      <c r="C85" s="92" t="s">
        <v>406</v>
      </c>
      <c r="D85" s="93" t="s">
        <v>363</v>
      </c>
      <c r="E85" s="121">
        <v>6000000</v>
      </c>
      <c r="F85" s="207">
        <v>0.25</v>
      </c>
      <c r="G85" s="116">
        <f t="shared" si="67"/>
        <v>1500000</v>
      </c>
      <c r="H85" s="121">
        <v>0.1</v>
      </c>
      <c r="I85" s="67">
        <f t="shared" si="68"/>
        <v>1499999.9</v>
      </c>
      <c r="J85" s="68">
        <f t="shared" si="65"/>
        <v>6.6666666666666668E-8</v>
      </c>
      <c r="K85" s="55" t="str">
        <f t="shared" si="85"/>
        <v>Se ha avanzado muy poco o nada en este indicador</v>
      </c>
      <c r="L85" s="179">
        <v>6000000</v>
      </c>
      <c r="M85" s="207">
        <v>0.5</v>
      </c>
      <c r="N85" s="116">
        <f t="shared" si="69"/>
        <v>3000000</v>
      </c>
      <c r="O85" s="179">
        <v>0.1</v>
      </c>
      <c r="P85" s="70">
        <f t="shared" si="70"/>
        <v>2999999.9</v>
      </c>
      <c r="Q85" s="59">
        <f t="shared" si="66"/>
        <v>3.3333333333333334E-8</v>
      </c>
      <c r="R85" s="55" t="str">
        <f t="shared" si="84"/>
        <v>Se ha avanzado muy poco o nada en este indicador</v>
      </c>
      <c r="S85" s="218">
        <v>6000000</v>
      </c>
      <c r="T85" s="215">
        <v>0.75</v>
      </c>
      <c r="U85" s="248">
        <v>5156933</v>
      </c>
      <c r="V85" s="248">
        <v>5156933</v>
      </c>
      <c r="W85" s="248">
        <f t="shared" si="72"/>
        <v>0</v>
      </c>
      <c r="X85" s="59">
        <f t="shared" si="82"/>
        <v>1</v>
      </c>
      <c r="Y85" s="249" t="str">
        <f t="shared" si="83"/>
        <v>Nivel del indicador que satisface y supera las expectativas</v>
      </c>
      <c r="Z85" s="70"/>
      <c r="AA85" s="70"/>
      <c r="AB85" s="70">
        <f t="shared" si="73"/>
        <v>0</v>
      </c>
      <c r="AC85" s="59" t="str">
        <f t="shared" si="74"/>
        <v/>
      </c>
      <c r="AD85" s="55" t="str">
        <f t="shared" si="75"/>
        <v/>
      </c>
      <c r="AH85" s="79">
        <f t="shared" si="76"/>
        <v>1.6666666666666667E-8</v>
      </c>
      <c r="AI85" s="79">
        <f t="shared" si="77"/>
        <v>1.6666666666666667E-8</v>
      </c>
      <c r="AJ85" s="79">
        <f t="shared" si="78"/>
        <v>0.85948883333333337</v>
      </c>
      <c r="AK85" s="79">
        <f t="shared" si="79"/>
        <v>0</v>
      </c>
    </row>
    <row r="86" spans="1:37" ht="45" x14ac:dyDescent="0.25">
      <c r="A86" s="91" t="s">
        <v>405</v>
      </c>
      <c r="B86" s="91" t="s">
        <v>352</v>
      </c>
      <c r="C86" s="92" t="s">
        <v>100</v>
      </c>
      <c r="D86" s="93" t="s">
        <v>411</v>
      </c>
      <c r="E86" s="121">
        <v>252000000</v>
      </c>
      <c r="F86" s="207">
        <v>0.25</v>
      </c>
      <c r="G86" s="121">
        <v>129029581</v>
      </c>
      <c r="H86" s="121">
        <v>129029581</v>
      </c>
      <c r="I86" s="67">
        <f t="shared" si="68"/>
        <v>0</v>
      </c>
      <c r="J86" s="68">
        <f t="shared" si="65"/>
        <v>1</v>
      </c>
      <c r="K86" s="55" t="str">
        <f t="shared" si="85"/>
        <v>Nivel del indicador que satisface y supera las expectativas</v>
      </c>
      <c r="L86" s="179">
        <v>263500000</v>
      </c>
      <c r="M86" s="207">
        <v>0.5</v>
      </c>
      <c r="N86" s="179">
        <v>145162587</v>
      </c>
      <c r="O86" s="179">
        <v>145162587</v>
      </c>
      <c r="P86" s="70">
        <f t="shared" si="70"/>
        <v>0</v>
      </c>
      <c r="Q86" s="59">
        <f t="shared" si="66"/>
        <v>1</v>
      </c>
      <c r="R86" s="55" t="str">
        <f t="shared" si="81"/>
        <v>Nivel del indicador que satisface y supera las expectativas</v>
      </c>
      <c r="S86" s="218">
        <v>263500000</v>
      </c>
      <c r="T86" s="215">
        <v>0.75</v>
      </c>
      <c r="U86" s="248">
        <v>254060917</v>
      </c>
      <c r="V86" s="248">
        <v>254060917</v>
      </c>
      <c r="W86" s="248">
        <f t="shared" si="72"/>
        <v>0</v>
      </c>
      <c r="X86" s="59">
        <f t="shared" si="82"/>
        <v>1</v>
      </c>
      <c r="Y86" s="249" t="str">
        <f t="shared" si="83"/>
        <v>Nivel del indicador que satisface y supera las expectativas</v>
      </c>
      <c r="Z86" s="70"/>
      <c r="AA86" s="70"/>
      <c r="AB86" s="70">
        <f t="shared" si="73"/>
        <v>0</v>
      </c>
      <c r="AC86" s="59" t="str">
        <f t="shared" si="74"/>
        <v/>
      </c>
      <c r="AD86" s="55" t="str">
        <f t="shared" si="75"/>
        <v/>
      </c>
      <c r="AH86" s="79">
        <f t="shared" si="76"/>
        <v>0.51202214682539682</v>
      </c>
      <c r="AI86" s="79">
        <f t="shared" si="77"/>
        <v>0.55090165844402272</v>
      </c>
      <c r="AJ86" s="79">
        <f t="shared" si="78"/>
        <v>0.96417805313092975</v>
      </c>
      <c r="AK86" s="79">
        <f t="shared" si="79"/>
        <v>0</v>
      </c>
    </row>
    <row r="87" spans="1:37" ht="42" customHeight="1" x14ac:dyDescent="0.25">
      <c r="A87" s="91" t="s">
        <v>405</v>
      </c>
      <c r="B87" s="91" t="s">
        <v>354</v>
      </c>
      <c r="C87" s="92" t="s">
        <v>407</v>
      </c>
      <c r="D87" s="93" t="s">
        <v>413</v>
      </c>
      <c r="E87" s="120">
        <v>34000000</v>
      </c>
      <c r="F87" s="207">
        <v>0.25</v>
      </c>
      <c r="G87" s="120">
        <v>26966667</v>
      </c>
      <c r="H87" s="120">
        <v>26966667</v>
      </c>
      <c r="I87" s="67">
        <f t="shared" si="68"/>
        <v>0</v>
      </c>
      <c r="J87" s="68">
        <f t="shared" si="65"/>
        <v>1</v>
      </c>
      <c r="K87" s="55" t="str">
        <f t="shared" si="85"/>
        <v>Nivel del indicador que satisface y supera las expectativas</v>
      </c>
      <c r="L87" s="179">
        <v>64404212</v>
      </c>
      <c r="M87" s="207">
        <v>0.5</v>
      </c>
      <c r="N87" s="116">
        <f t="shared" si="69"/>
        <v>32202106</v>
      </c>
      <c r="O87" s="179">
        <v>26966667</v>
      </c>
      <c r="P87" s="70">
        <f t="shared" si="70"/>
        <v>5235439</v>
      </c>
      <c r="Q87" s="59">
        <f t="shared" si="66"/>
        <v>0.83741936008781537</v>
      </c>
      <c r="R87" s="55" t="str">
        <f t="shared" si="81"/>
        <v>Nivel del indicador que satisface y supera las expectativas</v>
      </c>
      <c r="S87" s="218">
        <v>88291916</v>
      </c>
      <c r="T87" s="215">
        <v>0.75</v>
      </c>
      <c r="U87" s="248">
        <f t="shared" si="71"/>
        <v>66218937</v>
      </c>
      <c r="V87" s="248">
        <v>49160547</v>
      </c>
      <c r="W87" s="248">
        <f t="shared" si="72"/>
        <v>17058390</v>
      </c>
      <c r="X87" s="59">
        <f t="shared" si="82"/>
        <v>0.74239408282860231</v>
      </c>
      <c r="Y87" s="249" t="str">
        <f t="shared" si="83"/>
        <v>Nivel del indicador que cumple las expectativas</v>
      </c>
      <c r="Z87" s="70"/>
      <c r="AA87" s="70"/>
      <c r="AB87" s="70">
        <f t="shared" si="73"/>
        <v>0</v>
      </c>
      <c r="AC87" s="59" t="str">
        <f t="shared" si="74"/>
        <v/>
      </c>
      <c r="AD87" s="55" t="str">
        <f t="shared" si="75"/>
        <v/>
      </c>
      <c r="AH87" s="79">
        <f t="shared" si="76"/>
        <v>0.79313726470588231</v>
      </c>
      <c r="AI87" s="79">
        <f t="shared" si="77"/>
        <v>0.41870968004390768</v>
      </c>
      <c r="AJ87" s="79">
        <f t="shared" si="78"/>
        <v>0.55679556212145176</v>
      </c>
      <c r="AK87" s="79">
        <f t="shared" si="79"/>
        <v>0</v>
      </c>
    </row>
    <row r="88" spans="1:37" ht="31.5" customHeight="1" x14ac:dyDescent="0.25">
      <c r="A88" s="57" t="s">
        <v>414</v>
      </c>
      <c r="B88" s="57" t="s">
        <v>415</v>
      </c>
      <c r="C88" s="54" t="s">
        <v>416</v>
      </c>
      <c r="D88" s="58" t="s">
        <v>447</v>
      </c>
      <c r="E88" s="69">
        <v>36000000</v>
      </c>
      <c r="F88" s="207">
        <v>0.25</v>
      </c>
      <c r="G88" s="116">
        <f t="shared" si="67"/>
        <v>9000000</v>
      </c>
      <c r="H88" s="153">
        <v>0.1</v>
      </c>
      <c r="I88" s="67">
        <f t="shared" si="68"/>
        <v>8999999.9000000004</v>
      </c>
      <c r="J88" s="68">
        <f t="shared" si="65"/>
        <v>1.1111111111111112E-8</v>
      </c>
      <c r="K88" s="55" t="str">
        <f t="shared" si="85"/>
        <v>Se ha avanzado muy poco o nada en este indicador</v>
      </c>
      <c r="L88" s="179">
        <v>36000000</v>
      </c>
      <c r="M88" s="207">
        <v>0.5</v>
      </c>
      <c r="N88" s="116">
        <f t="shared" si="69"/>
        <v>18000000</v>
      </c>
      <c r="O88" s="179">
        <v>0.1</v>
      </c>
      <c r="P88" s="70">
        <f t="shared" si="70"/>
        <v>17999999.899999999</v>
      </c>
      <c r="Q88" s="59">
        <f t="shared" si="66"/>
        <v>5.5555555555555559E-9</v>
      </c>
      <c r="R88" s="55" t="str">
        <f t="shared" si="81"/>
        <v>Se ha avanzado muy poco o nada en este indicador</v>
      </c>
      <c r="S88" s="218">
        <v>0</v>
      </c>
      <c r="T88" s="215">
        <v>0.75</v>
      </c>
      <c r="U88" s="248">
        <f t="shared" si="71"/>
        <v>0</v>
      </c>
      <c r="V88" s="248">
        <v>0</v>
      </c>
      <c r="W88" s="248">
        <f t="shared" si="72"/>
        <v>0</v>
      </c>
      <c r="X88" s="59">
        <f t="shared" si="82"/>
        <v>0</v>
      </c>
      <c r="Y88" s="249" t="str">
        <f t="shared" si="83"/>
        <v>Se ha avanzado muy poco o nada en este indicador</v>
      </c>
      <c r="Z88" s="70"/>
      <c r="AA88" s="70"/>
      <c r="AB88" s="70">
        <f>Z88-AA88</f>
        <v>0</v>
      </c>
      <c r="AC88" s="59" t="str">
        <f>IF(AB88&gt;0,AA88/Z88,"")</f>
        <v/>
      </c>
      <c r="AD88" s="55" t="str">
        <f>IF(AND(Z88&gt;0,AA88=""),"¡¡Ojo No se Ejecuto Presupuesto!!",IF(AC88="","",IF(AC88&lt;33.99%,"Se ha avanzado muy poco o nada en este indicador",IF(AC88&lt;=75.99%,"Nivel Aceptable del Indicador",IF(AC88&lt;=98.99%,"Nivel del indicador que cumple las expectativas","Nivel del indicador que satisface y supera las expectativas")))))</f>
        <v/>
      </c>
      <c r="AH88" s="79">
        <f>IFERROR((H88/E88),0)</f>
        <v>2.777777777777778E-9</v>
      </c>
      <c r="AI88" s="79">
        <f>IFERROR((O88/L88),0)</f>
        <v>2.777777777777778E-9</v>
      </c>
      <c r="AJ88" s="79">
        <f>IFERROR((V88/S88),0)</f>
        <v>0</v>
      </c>
      <c r="AK88" s="79">
        <f>IFERROR((AA88/Z88),0)</f>
        <v>0</v>
      </c>
    </row>
    <row r="89" spans="1:37" ht="45" x14ac:dyDescent="0.25">
      <c r="A89" s="57" t="s">
        <v>414</v>
      </c>
      <c r="B89" s="57" t="s">
        <v>417</v>
      </c>
      <c r="C89" s="54" t="s">
        <v>418</v>
      </c>
      <c r="D89" s="58" t="s">
        <v>447</v>
      </c>
      <c r="E89" s="69">
        <v>100000000</v>
      </c>
      <c r="F89" s="207">
        <v>0.25</v>
      </c>
      <c r="G89" s="156">
        <v>76411267</v>
      </c>
      <c r="H89" s="156">
        <v>76411267</v>
      </c>
      <c r="I89" s="67">
        <f t="shared" si="68"/>
        <v>0</v>
      </c>
      <c r="J89" s="68">
        <f t="shared" si="65"/>
        <v>1</v>
      </c>
      <c r="K89" s="55" t="str">
        <f t="shared" si="85"/>
        <v>Nivel del indicador que satisface y supera las expectativas</v>
      </c>
      <c r="L89" s="179">
        <v>100000000</v>
      </c>
      <c r="M89" s="207">
        <v>0.5</v>
      </c>
      <c r="N89" s="179">
        <v>82727383</v>
      </c>
      <c r="O89" s="179">
        <v>82727383</v>
      </c>
      <c r="P89" s="70">
        <f t="shared" si="70"/>
        <v>0</v>
      </c>
      <c r="Q89" s="59">
        <f t="shared" si="66"/>
        <v>1</v>
      </c>
      <c r="R89" s="55" t="str">
        <f t="shared" si="81"/>
        <v>Nivel del indicador que satisface y supera las expectativas</v>
      </c>
      <c r="S89" s="218">
        <v>126191175</v>
      </c>
      <c r="T89" s="215">
        <v>0.75</v>
      </c>
      <c r="U89" s="248">
        <v>115776409</v>
      </c>
      <c r="V89" s="248">
        <v>115776409</v>
      </c>
      <c r="W89" s="248">
        <f t="shared" si="72"/>
        <v>0</v>
      </c>
      <c r="X89" s="59">
        <f t="shared" si="82"/>
        <v>1</v>
      </c>
      <c r="Y89" s="249" t="str">
        <f t="shared" si="83"/>
        <v>Nivel del indicador que satisface y supera las expectativas</v>
      </c>
      <c r="Z89" s="70"/>
      <c r="AA89" s="70"/>
      <c r="AB89" s="70">
        <f t="shared" ref="AB89:AB100" si="86">Z89-AA89</f>
        <v>0</v>
      </c>
      <c r="AC89" s="59" t="str">
        <f t="shared" ref="AC89:AC100" si="87">IF(AB89&gt;0,AA89/Z89,"")</f>
        <v/>
      </c>
      <c r="AD89" s="55" t="str">
        <f t="shared" ref="AD89:AD100" si="88">IF(AND(Z89&gt;0,AA89=""),"¡¡Ojo No se Ejecuto Presupuesto!!",IF(AC89="","",IF(AC89&lt;33.99%,"Se ha avanzado muy poco o nada en este indicador",IF(AC89&lt;=75.99%,"Nivel Aceptable del Indicador",IF(AC89&lt;=98.99%,"Nivel del indicador que cumple las expectativas","Nivel del indicador que satisface y supera las expectativas")))))</f>
        <v/>
      </c>
      <c r="AH89" s="79">
        <f t="shared" ref="AH89:AH100" si="89">IFERROR((H89/E89),0)</f>
        <v>0.76411267000000005</v>
      </c>
      <c r="AI89" s="79">
        <f t="shared" ref="AI89:AI100" si="90">IFERROR((O89/L89),0)</f>
        <v>0.82727382999999999</v>
      </c>
      <c r="AJ89" s="79">
        <f t="shared" ref="AJ89:AJ100" si="91">IFERROR((V89/S89),0)</f>
        <v>0.91746834911395347</v>
      </c>
      <c r="AK89" s="79">
        <f t="shared" ref="AK89:AK100" si="92">IFERROR((AA89/Z89),0)</f>
        <v>0</v>
      </c>
    </row>
    <row r="90" spans="1:37" ht="37.5" customHeight="1" x14ac:dyDescent="0.25">
      <c r="A90" s="57" t="s">
        <v>414</v>
      </c>
      <c r="B90" s="57" t="s">
        <v>419</v>
      </c>
      <c r="C90" s="54" t="s">
        <v>420</v>
      </c>
      <c r="D90" s="58" t="s">
        <v>447</v>
      </c>
      <c r="E90" s="69">
        <v>32000000</v>
      </c>
      <c r="F90" s="207">
        <v>0.25</v>
      </c>
      <c r="G90" s="154">
        <v>9858704</v>
      </c>
      <c r="H90" s="154">
        <v>9858704</v>
      </c>
      <c r="I90" s="67">
        <f t="shared" si="68"/>
        <v>0</v>
      </c>
      <c r="J90" s="68">
        <f t="shared" si="65"/>
        <v>1</v>
      </c>
      <c r="K90" s="55" t="str">
        <f t="shared" si="85"/>
        <v>Nivel del indicador que satisface y supera las expectativas</v>
      </c>
      <c r="L90" s="179">
        <v>32000000</v>
      </c>
      <c r="M90" s="207">
        <v>0.5</v>
      </c>
      <c r="N90" s="116">
        <f t="shared" si="69"/>
        <v>16000000</v>
      </c>
      <c r="O90" s="179">
        <v>9858704</v>
      </c>
      <c r="P90" s="70">
        <f t="shared" si="70"/>
        <v>6141296</v>
      </c>
      <c r="Q90" s="59">
        <f t="shared" si="66"/>
        <v>0.61616899999999997</v>
      </c>
      <c r="R90" s="55" t="str">
        <f>IF(AND(L90&gt;0,O90=""),"¡¡Ojo No se Ejecuto Presupuesto!!",IF(Q90=0%,"",IF(Q90&lt;16%,"Se ha avanzado muy poco o nada en este indicador",IF(Q90&lt;=37%,"Nivel Aceptable del Indicador",IF(Q90&lt;=50%,"Nivel del indicador que cumple las expectativas","Nivel del indicador que satisface y supera las expectativas")))))</f>
        <v>Nivel del indicador que satisface y supera las expectativas</v>
      </c>
      <c r="S90" s="218">
        <v>19717408</v>
      </c>
      <c r="T90" s="215">
        <v>0.75</v>
      </c>
      <c r="U90" s="248">
        <v>19644380</v>
      </c>
      <c r="V90" s="248">
        <v>19644380</v>
      </c>
      <c r="W90" s="248">
        <f t="shared" si="72"/>
        <v>0</v>
      </c>
      <c r="X90" s="59">
        <f t="shared" si="82"/>
        <v>1</v>
      </c>
      <c r="Y90" s="249" t="str">
        <f t="shared" si="83"/>
        <v>Nivel del indicador que satisface y supera las expectativas</v>
      </c>
      <c r="Z90" s="70"/>
      <c r="AA90" s="70"/>
      <c r="AB90" s="70">
        <f t="shared" si="86"/>
        <v>0</v>
      </c>
      <c r="AC90" s="59" t="str">
        <f t="shared" si="87"/>
        <v/>
      </c>
      <c r="AD90" s="55" t="str">
        <f t="shared" si="88"/>
        <v/>
      </c>
      <c r="AH90" s="79">
        <f t="shared" si="89"/>
        <v>0.30808449999999998</v>
      </c>
      <c r="AI90" s="79">
        <f t="shared" si="90"/>
        <v>0.30808449999999998</v>
      </c>
      <c r="AJ90" s="79">
        <f t="shared" si="91"/>
        <v>0.99629626774472591</v>
      </c>
      <c r="AK90" s="79">
        <f t="shared" si="92"/>
        <v>0</v>
      </c>
    </row>
    <row r="91" spans="1:37" ht="48" customHeight="1" x14ac:dyDescent="0.25">
      <c r="A91" s="57" t="s">
        <v>421</v>
      </c>
      <c r="B91" s="57" t="s">
        <v>422</v>
      </c>
      <c r="C91" s="54" t="s">
        <v>423</v>
      </c>
      <c r="D91" s="55" t="s">
        <v>448</v>
      </c>
      <c r="E91" s="69">
        <v>303500000</v>
      </c>
      <c r="F91" s="207">
        <v>0.25</v>
      </c>
      <c r="G91" s="154">
        <v>152687380</v>
      </c>
      <c r="H91" s="154">
        <v>152687380</v>
      </c>
      <c r="I91" s="67">
        <f t="shared" si="68"/>
        <v>0</v>
      </c>
      <c r="J91" s="68">
        <f t="shared" si="65"/>
        <v>1</v>
      </c>
      <c r="K91" s="55" t="str">
        <f t="shared" si="85"/>
        <v>Nivel del indicador que satisface y supera las expectativas</v>
      </c>
      <c r="L91" s="179">
        <v>365000000</v>
      </c>
      <c r="M91" s="207">
        <v>0.5</v>
      </c>
      <c r="N91" s="179">
        <v>275029881</v>
      </c>
      <c r="O91" s="179">
        <v>275029881</v>
      </c>
      <c r="P91" s="70">
        <f t="shared" si="70"/>
        <v>0</v>
      </c>
      <c r="Q91" s="59">
        <f t="shared" si="66"/>
        <v>1</v>
      </c>
      <c r="R91" s="55" t="str">
        <f t="shared" ref="R91:R100" si="93">IF(AND(L91&gt;0,O91=""),"¡¡Ojo No se Ejecuto Presupuesto!!",IF(Q91=0%,"",IF(Q91&lt;16%,"Se ha avanzado muy poco o nada en este indicador",IF(Q91&lt;=37%,"Nivel Aceptable del Indicador",IF(Q91&lt;=50%,"Nivel del indicador que cumple las expectativas","Nivel del indicador que satisface y supera las expectativas")))))</f>
        <v>Nivel del indicador que satisface y supera las expectativas</v>
      </c>
      <c r="S91" s="218">
        <v>365000000</v>
      </c>
      <c r="T91" s="215">
        <v>0.75</v>
      </c>
      <c r="U91" s="248">
        <v>357879762</v>
      </c>
      <c r="V91" s="248">
        <v>357879762</v>
      </c>
      <c r="W91" s="248">
        <f t="shared" si="72"/>
        <v>0</v>
      </c>
      <c r="X91" s="59">
        <f t="shared" si="82"/>
        <v>1</v>
      </c>
      <c r="Y91" s="249" t="str">
        <f t="shared" si="83"/>
        <v>Nivel del indicador que satisface y supera las expectativas</v>
      </c>
      <c r="Z91" s="70"/>
      <c r="AA91" s="70"/>
      <c r="AB91" s="70">
        <f t="shared" si="86"/>
        <v>0</v>
      </c>
      <c r="AC91" s="59" t="str">
        <f t="shared" si="87"/>
        <v/>
      </c>
      <c r="AD91" s="55" t="str">
        <f t="shared" si="88"/>
        <v/>
      </c>
      <c r="AH91" s="79">
        <f t="shared" si="89"/>
        <v>0.50308856672158153</v>
      </c>
      <c r="AI91" s="79">
        <f t="shared" si="90"/>
        <v>0.7535065232876712</v>
      </c>
      <c r="AJ91" s="79">
        <f t="shared" si="91"/>
        <v>0.98049249863013699</v>
      </c>
      <c r="AK91" s="79">
        <f t="shared" si="92"/>
        <v>0</v>
      </c>
    </row>
    <row r="92" spans="1:37" ht="60" x14ac:dyDescent="0.25">
      <c r="A92" s="57" t="s">
        <v>424</v>
      </c>
      <c r="B92" s="57" t="s">
        <v>425</v>
      </c>
      <c r="C92" s="54" t="s">
        <v>426</v>
      </c>
      <c r="D92" s="58" t="s">
        <v>448</v>
      </c>
      <c r="E92" s="69">
        <v>310500000</v>
      </c>
      <c r="F92" s="207">
        <v>0.25</v>
      </c>
      <c r="G92" s="157">
        <v>271568025</v>
      </c>
      <c r="H92" s="157">
        <v>271568025</v>
      </c>
      <c r="I92" s="67">
        <f t="shared" si="68"/>
        <v>0</v>
      </c>
      <c r="J92" s="68">
        <f t="shared" si="65"/>
        <v>1</v>
      </c>
      <c r="K92" s="55" t="str">
        <f t="shared" si="85"/>
        <v>Nivel del indicador que satisface y supera las expectativas</v>
      </c>
      <c r="L92" s="179">
        <v>342570502</v>
      </c>
      <c r="M92" s="207">
        <v>0.5</v>
      </c>
      <c r="N92" s="179">
        <v>293418025</v>
      </c>
      <c r="O92" s="179">
        <v>293418025</v>
      </c>
      <c r="P92" s="70">
        <f t="shared" si="70"/>
        <v>0</v>
      </c>
      <c r="Q92" s="59">
        <f t="shared" si="66"/>
        <v>1</v>
      </c>
      <c r="R92" s="55" t="str">
        <f t="shared" si="93"/>
        <v>Nivel del indicador que satisface y supera las expectativas</v>
      </c>
      <c r="S92" s="218">
        <v>342570502</v>
      </c>
      <c r="T92" s="215">
        <v>0.75</v>
      </c>
      <c r="U92" s="248">
        <v>331385920</v>
      </c>
      <c r="V92" s="248">
        <v>331385920</v>
      </c>
      <c r="W92" s="248">
        <f t="shared" si="72"/>
        <v>0</v>
      </c>
      <c r="X92" s="59">
        <f t="shared" si="82"/>
        <v>1</v>
      </c>
      <c r="Y92" s="249" t="str">
        <f t="shared" si="83"/>
        <v>Nivel del indicador que satisface y supera las expectativas</v>
      </c>
      <c r="Z92" s="70"/>
      <c r="AA92" s="70"/>
      <c r="AB92" s="70">
        <f t="shared" si="86"/>
        <v>0</v>
      </c>
      <c r="AC92" s="59" t="str">
        <f t="shared" si="87"/>
        <v/>
      </c>
      <c r="AD92" s="55" t="str">
        <f t="shared" si="88"/>
        <v/>
      </c>
      <c r="AH92" s="79">
        <f t="shared" si="89"/>
        <v>0.87461521739130432</v>
      </c>
      <c r="AI92" s="79">
        <f t="shared" si="90"/>
        <v>0.85651865320266252</v>
      </c>
      <c r="AJ92" s="79">
        <f t="shared" si="91"/>
        <v>0.96735100677173891</v>
      </c>
      <c r="AK92" s="79">
        <f t="shared" si="92"/>
        <v>0</v>
      </c>
    </row>
    <row r="93" spans="1:37" ht="90" x14ac:dyDescent="0.25">
      <c r="A93" s="57" t="s">
        <v>427</v>
      </c>
      <c r="B93" s="57" t="s">
        <v>428</v>
      </c>
      <c r="C93" s="54" t="s">
        <v>429</v>
      </c>
      <c r="D93" s="58" t="s">
        <v>449</v>
      </c>
      <c r="E93" s="69">
        <v>86146765</v>
      </c>
      <c r="F93" s="207">
        <v>0.25</v>
      </c>
      <c r="G93" s="116">
        <f t="shared" si="67"/>
        <v>21536691.25</v>
      </c>
      <c r="H93" s="154">
        <v>11993600</v>
      </c>
      <c r="I93" s="67">
        <f t="shared" si="68"/>
        <v>9543091.25</v>
      </c>
      <c r="J93" s="68">
        <f t="shared" si="65"/>
        <v>0.55689148629086649</v>
      </c>
      <c r="K93" s="55" t="str">
        <f t="shared" si="80"/>
        <v>Nivel del indicador que satisface y supera las expectativas</v>
      </c>
      <c r="L93" s="179">
        <v>150645765</v>
      </c>
      <c r="M93" s="207">
        <v>0.5</v>
      </c>
      <c r="N93" s="116">
        <f t="shared" si="69"/>
        <v>75322882.5</v>
      </c>
      <c r="O93" s="179">
        <v>22103600</v>
      </c>
      <c r="P93" s="70">
        <f t="shared" si="70"/>
        <v>53219282.5</v>
      </c>
      <c r="Q93" s="59">
        <f t="shared" si="66"/>
        <v>0.29345132934868762</v>
      </c>
      <c r="R93" s="55" t="str">
        <f t="shared" si="93"/>
        <v>Nivel Aceptable del Indicador</v>
      </c>
      <c r="S93" s="217">
        <v>102645765</v>
      </c>
      <c r="T93" s="215">
        <v>0.75</v>
      </c>
      <c r="U93" s="248">
        <f t="shared" si="71"/>
        <v>76984323.75</v>
      </c>
      <c r="V93" s="251">
        <v>38449999</v>
      </c>
      <c r="W93" s="248">
        <f t="shared" si="72"/>
        <v>38534324.75</v>
      </c>
      <c r="X93" s="59">
        <f t="shared" si="82"/>
        <v>0.49945231869364831</v>
      </c>
      <c r="Y93" s="249" t="str">
        <f t="shared" si="83"/>
        <v>Nivel Aceptable del Indicador</v>
      </c>
      <c r="Z93" s="70"/>
      <c r="AA93" s="70"/>
      <c r="AB93" s="70">
        <f t="shared" si="86"/>
        <v>0</v>
      </c>
      <c r="AC93" s="59" t="str">
        <f t="shared" si="87"/>
        <v/>
      </c>
      <c r="AD93" s="55" t="str">
        <f t="shared" si="88"/>
        <v/>
      </c>
      <c r="AH93" s="79">
        <f t="shared" si="89"/>
        <v>0.13922287157271662</v>
      </c>
      <c r="AI93" s="79">
        <f t="shared" si="90"/>
        <v>0.14672566467434381</v>
      </c>
      <c r="AJ93" s="79">
        <f t="shared" si="91"/>
        <v>0.37458923902023622</v>
      </c>
      <c r="AK93" s="79">
        <f t="shared" si="92"/>
        <v>0</v>
      </c>
    </row>
    <row r="94" spans="1:37" ht="45" x14ac:dyDescent="0.25">
      <c r="A94" s="57" t="s">
        <v>427</v>
      </c>
      <c r="B94" s="57" t="s">
        <v>430</v>
      </c>
      <c r="C94" s="54" t="s">
        <v>431</v>
      </c>
      <c r="D94" s="58" t="s">
        <v>447</v>
      </c>
      <c r="E94" s="69">
        <v>2500000</v>
      </c>
      <c r="F94" s="207">
        <v>0.25</v>
      </c>
      <c r="G94" s="116">
        <f t="shared" si="67"/>
        <v>625000</v>
      </c>
      <c r="H94" s="154">
        <v>0.1</v>
      </c>
      <c r="I94" s="67">
        <f t="shared" si="68"/>
        <v>624999.9</v>
      </c>
      <c r="J94" s="68">
        <f t="shared" si="65"/>
        <v>1.6E-7</v>
      </c>
      <c r="K94" s="55" t="str">
        <f>IF(AND(E94&gt;0,H94=""),"¡¡Ojo No se Ejecuto Presupuesto!!",IF(J94=0%,"",IF(J94&lt;9%,"Se ha avanzado muy poco o nada en este indicador",IF(J94&lt;=20%,"Nivel Aceptable del Indicador",IF(J94&lt;=25%,"Nivel del indicador que cumple las expectativas","Nivel del indicador que satisface y supera las expectativas")))))</f>
        <v>Se ha avanzado muy poco o nada en este indicador</v>
      </c>
      <c r="L94" s="179">
        <v>2500000</v>
      </c>
      <c r="M94" s="207">
        <v>0.5</v>
      </c>
      <c r="N94" s="116">
        <f t="shared" si="69"/>
        <v>1250000</v>
      </c>
      <c r="O94" s="179">
        <v>0.1</v>
      </c>
      <c r="P94" s="70">
        <f t="shared" si="70"/>
        <v>1249999.8999999999</v>
      </c>
      <c r="Q94" s="59">
        <f t="shared" si="66"/>
        <v>8.0000000000000002E-8</v>
      </c>
      <c r="R94" s="55" t="str">
        <f t="shared" ref="R94:R97" si="94">IF(AND(L94&gt;0,O94=""),"¡¡Ojo No se Ejecuto Presupuesto!!",IF(Q94=0%,"",IF(Q94&lt;16%,"Se ha avanzado muy poco o nada en este indicador",IF(Q94&lt;=37%,"Nivel Aceptable del Indicador",IF(Q94&lt;=50%,"Nivel del indicador que cumple las expectativas","Nivel del indicador que satisface y supera las expectativas")))))</f>
        <v>Se ha avanzado muy poco o nada en este indicador</v>
      </c>
      <c r="S94" s="218">
        <v>2500000</v>
      </c>
      <c r="T94" s="215">
        <v>0.75</v>
      </c>
      <c r="U94" s="248">
        <v>2466667</v>
      </c>
      <c r="V94" s="248">
        <v>2466667</v>
      </c>
      <c r="W94" s="248">
        <f t="shared" si="72"/>
        <v>0</v>
      </c>
      <c r="X94" s="59">
        <f t="shared" si="82"/>
        <v>1</v>
      </c>
      <c r="Y94" s="249" t="str">
        <f t="shared" si="83"/>
        <v>Nivel del indicador que satisface y supera las expectativas</v>
      </c>
      <c r="Z94" s="70"/>
      <c r="AA94" s="70"/>
      <c r="AB94" s="70">
        <f t="shared" si="86"/>
        <v>0</v>
      </c>
      <c r="AC94" s="59" t="str">
        <f t="shared" si="87"/>
        <v/>
      </c>
      <c r="AD94" s="55" t="str">
        <f t="shared" si="88"/>
        <v/>
      </c>
      <c r="AH94" s="79">
        <f t="shared" si="89"/>
        <v>4.0000000000000001E-8</v>
      </c>
      <c r="AI94" s="79">
        <f t="shared" si="90"/>
        <v>4.0000000000000001E-8</v>
      </c>
      <c r="AJ94" s="79">
        <f t="shared" si="91"/>
        <v>0.98666679999999995</v>
      </c>
      <c r="AK94" s="79">
        <f t="shared" si="92"/>
        <v>0</v>
      </c>
    </row>
    <row r="95" spans="1:37" ht="45" x14ac:dyDescent="0.25">
      <c r="A95" s="57" t="s">
        <v>432</v>
      </c>
      <c r="B95" s="57" t="s">
        <v>433</v>
      </c>
      <c r="C95" s="54" t="s">
        <v>434</v>
      </c>
      <c r="D95" s="58" t="s">
        <v>447</v>
      </c>
      <c r="E95" s="69">
        <v>1517992437</v>
      </c>
      <c r="F95" s="207">
        <v>0.25</v>
      </c>
      <c r="G95" s="154">
        <v>1473345467</v>
      </c>
      <c r="H95" s="154">
        <v>1473345467</v>
      </c>
      <c r="I95" s="67">
        <f t="shared" si="68"/>
        <v>0</v>
      </c>
      <c r="J95" s="68">
        <f t="shared" si="65"/>
        <v>1</v>
      </c>
      <c r="K95" s="55" t="str">
        <f t="shared" si="80"/>
        <v>Nivel del indicador que satisface y supera las expectativas</v>
      </c>
      <c r="L95" s="179">
        <v>1517992437</v>
      </c>
      <c r="M95" s="207">
        <v>0.5</v>
      </c>
      <c r="N95" s="179">
        <v>1473345467</v>
      </c>
      <c r="O95" s="179">
        <v>1473345467</v>
      </c>
      <c r="P95" s="70">
        <f t="shared" si="70"/>
        <v>0</v>
      </c>
      <c r="Q95" s="59">
        <f t="shared" si="66"/>
        <v>1</v>
      </c>
      <c r="R95" s="55" t="str">
        <f t="shared" si="94"/>
        <v>Nivel del indicador que satisface y supera las expectativas</v>
      </c>
      <c r="S95" s="218">
        <v>1484682582</v>
      </c>
      <c r="T95" s="215">
        <v>0.75</v>
      </c>
      <c r="U95" s="248">
        <v>1473345467</v>
      </c>
      <c r="V95" s="248">
        <v>1473345467</v>
      </c>
      <c r="W95" s="248">
        <f t="shared" si="72"/>
        <v>0</v>
      </c>
      <c r="X95" s="59">
        <f t="shared" si="82"/>
        <v>1</v>
      </c>
      <c r="Y95" s="249" t="str">
        <f t="shared" si="83"/>
        <v>Nivel del indicador que satisface y supera las expectativas</v>
      </c>
      <c r="Z95" s="70"/>
      <c r="AA95" s="70"/>
      <c r="AB95" s="70">
        <f t="shared" si="86"/>
        <v>0</v>
      </c>
      <c r="AC95" s="59" t="str">
        <f t="shared" si="87"/>
        <v/>
      </c>
      <c r="AD95" s="55" t="str">
        <f t="shared" si="88"/>
        <v/>
      </c>
      <c r="AH95" s="79">
        <f t="shared" si="89"/>
        <v>0.97058814727151366</v>
      </c>
      <c r="AI95" s="79">
        <f t="shared" si="90"/>
        <v>0.97058814727151366</v>
      </c>
      <c r="AJ95" s="79">
        <f t="shared" si="91"/>
        <v>0.99236394692209029</v>
      </c>
      <c r="AK95" s="79">
        <f t="shared" si="92"/>
        <v>0</v>
      </c>
    </row>
    <row r="96" spans="1:37" ht="45" x14ac:dyDescent="0.25">
      <c r="A96" s="57" t="s">
        <v>432</v>
      </c>
      <c r="B96" s="57" t="s">
        <v>435</v>
      </c>
      <c r="C96" s="54" t="s">
        <v>436</v>
      </c>
      <c r="D96" s="58" t="s">
        <v>447</v>
      </c>
      <c r="E96" s="69">
        <v>30000000</v>
      </c>
      <c r="F96" s="207">
        <v>0.25</v>
      </c>
      <c r="G96" s="155">
        <v>26155629</v>
      </c>
      <c r="H96" s="155">
        <v>26155629</v>
      </c>
      <c r="I96" s="67">
        <f t="shared" si="68"/>
        <v>0</v>
      </c>
      <c r="J96" s="68">
        <f t="shared" si="65"/>
        <v>1</v>
      </c>
      <c r="K96" s="55" t="str">
        <f t="shared" si="80"/>
        <v>Nivel del indicador que satisface y supera las expectativas</v>
      </c>
      <c r="L96" s="179">
        <v>30000000</v>
      </c>
      <c r="M96" s="207">
        <v>0.5</v>
      </c>
      <c r="N96" s="179">
        <v>26165630</v>
      </c>
      <c r="O96" s="179">
        <v>26165630</v>
      </c>
      <c r="P96" s="70">
        <f t="shared" si="70"/>
        <v>0</v>
      </c>
      <c r="Q96" s="59">
        <f t="shared" si="66"/>
        <v>1</v>
      </c>
      <c r="R96" s="55" t="str">
        <f t="shared" si="94"/>
        <v>Nivel del indicador que satisface y supera las expectativas</v>
      </c>
      <c r="S96" s="218">
        <v>47309855</v>
      </c>
      <c r="T96" s="215">
        <v>0.75</v>
      </c>
      <c r="U96" s="248">
        <v>44557546</v>
      </c>
      <c r="V96" s="248">
        <v>44557546</v>
      </c>
      <c r="W96" s="248">
        <f t="shared" si="72"/>
        <v>0</v>
      </c>
      <c r="X96" s="59">
        <f t="shared" si="82"/>
        <v>1</v>
      </c>
      <c r="Y96" s="249" t="str">
        <f t="shared" si="83"/>
        <v>Nivel del indicador que satisface y supera las expectativas</v>
      </c>
      <c r="Z96" s="70"/>
      <c r="AA96" s="70"/>
      <c r="AB96" s="70">
        <f t="shared" si="86"/>
        <v>0</v>
      </c>
      <c r="AC96" s="59" t="str">
        <f t="shared" si="87"/>
        <v/>
      </c>
      <c r="AD96" s="55" t="str">
        <f t="shared" si="88"/>
        <v/>
      </c>
      <c r="AH96" s="79">
        <f t="shared" si="89"/>
        <v>0.87185429999999997</v>
      </c>
      <c r="AI96" s="79">
        <f t="shared" si="90"/>
        <v>0.87218766666666669</v>
      </c>
      <c r="AJ96" s="79">
        <f t="shared" si="91"/>
        <v>0.94182377012146834</v>
      </c>
      <c r="AK96" s="79">
        <f t="shared" si="92"/>
        <v>0</v>
      </c>
    </row>
    <row r="97" spans="1:37" ht="75" x14ac:dyDescent="0.25">
      <c r="A97" s="57" t="s">
        <v>437</v>
      </c>
      <c r="B97" s="57" t="s">
        <v>438</v>
      </c>
      <c r="C97" s="54" t="s">
        <v>439</v>
      </c>
      <c r="D97" s="58" t="s">
        <v>447</v>
      </c>
      <c r="E97" s="69">
        <v>3000000</v>
      </c>
      <c r="F97" s="207">
        <v>0.25</v>
      </c>
      <c r="G97" s="116">
        <f t="shared" si="67"/>
        <v>750000</v>
      </c>
      <c r="H97" s="154">
        <v>0.1</v>
      </c>
      <c r="I97" s="67">
        <f t="shared" si="68"/>
        <v>749999.9</v>
      </c>
      <c r="J97" s="68">
        <f t="shared" si="65"/>
        <v>1.3333333333333334E-7</v>
      </c>
      <c r="K97" s="55" t="str">
        <f t="shared" ref="K97:K102" si="95">IF(AND(E97&gt;0,H97=""),"¡¡Ojo No se Ejecuto Presupuesto!!",IF(J97=0%,"",IF(J97&lt;9%,"Se ha avanzado muy poco o nada en este indicador",IF(J97&lt;=20%,"Nivel Aceptable del Indicador",IF(J97&lt;=25%,"Nivel del indicador que cumple las expectativas","Nivel del indicador que satisface y supera las expectativas")))))</f>
        <v>Se ha avanzado muy poco o nada en este indicador</v>
      </c>
      <c r="L97" s="179">
        <v>3000000</v>
      </c>
      <c r="M97" s="207">
        <v>0.5</v>
      </c>
      <c r="N97" s="116">
        <f t="shared" si="69"/>
        <v>1500000</v>
      </c>
      <c r="O97" s="179">
        <v>0.1</v>
      </c>
      <c r="P97" s="70">
        <f t="shared" si="70"/>
        <v>1499999.9</v>
      </c>
      <c r="Q97" s="59">
        <f t="shared" si="66"/>
        <v>6.6666666666666668E-8</v>
      </c>
      <c r="R97" s="55" t="str">
        <f t="shared" si="94"/>
        <v>Se ha avanzado muy poco o nada en este indicador</v>
      </c>
      <c r="S97" s="218">
        <v>3000000</v>
      </c>
      <c r="T97" s="215">
        <v>0.75</v>
      </c>
      <c r="U97" s="248">
        <v>3000000</v>
      </c>
      <c r="V97" s="248">
        <v>3000000</v>
      </c>
      <c r="W97" s="248">
        <f t="shared" si="72"/>
        <v>0</v>
      </c>
      <c r="X97" s="59">
        <f t="shared" si="82"/>
        <v>1</v>
      </c>
      <c r="Y97" s="249" t="str">
        <f t="shared" si="83"/>
        <v>Nivel del indicador que satisface y supera las expectativas</v>
      </c>
      <c r="Z97" s="70"/>
      <c r="AA97" s="70"/>
      <c r="AB97" s="70">
        <f t="shared" si="86"/>
        <v>0</v>
      </c>
      <c r="AC97" s="59" t="str">
        <f t="shared" si="87"/>
        <v/>
      </c>
      <c r="AD97" s="55" t="str">
        <f t="shared" si="88"/>
        <v/>
      </c>
      <c r="AH97" s="79">
        <f t="shared" si="89"/>
        <v>3.3333333333333334E-8</v>
      </c>
      <c r="AI97" s="79">
        <f t="shared" si="90"/>
        <v>3.3333333333333334E-8</v>
      </c>
      <c r="AJ97" s="79">
        <f t="shared" si="91"/>
        <v>1</v>
      </c>
      <c r="AK97" s="79">
        <f t="shared" si="92"/>
        <v>0</v>
      </c>
    </row>
    <row r="98" spans="1:37" ht="45" x14ac:dyDescent="0.25">
      <c r="A98" s="57" t="s">
        <v>440</v>
      </c>
      <c r="B98" s="57" t="s">
        <v>441</v>
      </c>
      <c r="C98" s="54" t="s">
        <v>442</v>
      </c>
      <c r="D98" s="58" t="s">
        <v>447</v>
      </c>
      <c r="E98" s="69">
        <v>80000000</v>
      </c>
      <c r="F98" s="207">
        <v>0.25</v>
      </c>
      <c r="G98" s="154">
        <v>46888389</v>
      </c>
      <c r="H98" s="154">
        <v>46888389</v>
      </c>
      <c r="I98" s="67">
        <f t="shared" si="68"/>
        <v>0</v>
      </c>
      <c r="J98" s="68">
        <f t="shared" si="65"/>
        <v>1</v>
      </c>
      <c r="K98" s="55" t="str">
        <f t="shared" si="95"/>
        <v>Nivel del indicador que satisface y supera las expectativas</v>
      </c>
      <c r="L98" s="179">
        <v>80000000</v>
      </c>
      <c r="M98" s="207">
        <v>0.5</v>
      </c>
      <c r="N98" s="179">
        <v>47673424</v>
      </c>
      <c r="O98" s="179">
        <v>47673424</v>
      </c>
      <c r="P98" s="70">
        <f t="shared" si="70"/>
        <v>0</v>
      </c>
      <c r="Q98" s="59">
        <f t="shared" si="66"/>
        <v>1</v>
      </c>
      <c r="R98" s="55" t="str">
        <f t="shared" si="93"/>
        <v>Nivel del indicador que satisface y supera las expectativas</v>
      </c>
      <c r="S98" s="218">
        <v>80000000</v>
      </c>
      <c r="T98" s="215">
        <v>0.75</v>
      </c>
      <c r="U98" s="248">
        <v>77221996</v>
      </c>
      <c r="V98" s="248">
        <v>77221996</v>
      </c>
      <c r="W98" s="248">
        <f t="shared" si="72"/>
        <v>0</v>
      </c>
      <c r="X98" s="59">
        <f t="shared" si="82"/>
        <v>1</v>
      </c>
      <c r="Y98" s="249" t="str">
        <f t="shared" si="83"/>
        <v>Nivel del indicador que satisface y supera las expectativas</v>
      </c>
      <c r="Z98" s="70"/>
      <c r="AA98" s="70"/>
      <c r="AB98" s="70">
        <f t="shared" si="86"/>
        <v>0</v>
      </c>
      <c r="AC98" s="59" t="str">
        <f t="shared" si="87"/>
        <v/>
      </c>
      <c r="AD98" s="55" t="str">
        <f t="shared" si="88"/>
        <v/>
      </c>
      <c r="AH98" s="79">
        <f t="shared" si="89"/>
        <v>0.58610486250000005</v>
      </c>
      <c r="AI98" s="79">
        <f t="shared" si="90"/>
        <v>0.59591780000000005</v>
      </c>
      <c r="AJ98" s="79">
        <f t="shared" si="91"/>
        <v>0.96527494999999996</v>
      </c>
      <c r="AK98" s="79">
        <f t="shared" si="92"/>
        <v>0</v>
      </c>
    </row>
    <row r="99" spans="1:37" ht="45" x14ac:dyDescent="0.25">
      <c r="A99" s="57" t="s">
        <v>440</v>
      </c>
      <c r="B99" s="57" t="s">
        <v>443</v>
      </c>
      <c r="C99" s="54" t="s">
        <v>444</v>
      </c>
      <c r="D99" s="58" t="s">
        <v>447</v>
      </c>
      <c r="E99" s="69">
        <v>70000000</v>
      </c>
      <c r="F99" s="207">
        <v>0.25</v>
      </c>
      <c r="G99" s="116">
        <f t="shared" si="67"/>
        <v>17500000</v>
      </c>
      <c r="H99" s="154">
        <v>13175316</v>
      </c>
      <c r="I99" s="67">
        <f t="shared" si="68"/>
        <v>4324684</v>
      </c>
      <c r="J99" s="68">
        <f t="shared" si="65"/>
        <v>0.75287519999999997</v>
      </c>
      <c r="K99" s="55" t="str">
        <f t="shared" si="95"/>
        <v>Nivel del indicador que satisface y supera las expectativas</v>
      </c>
      <c r="L99" s="179">
        <v>70000000</v>
      </c>
      <c r="M99" s="207">
        <v>0.5</v>
      </c>
      <c r="N99" s="116">
        <f t="shared" si="69"/>
        <v>35000000</v>
      </c>
      <c r="O99" s="179">
        <v>13175316</v>
      </c>
      <c r="P99" s="70">
        <f t="shared" si="70"/>
        <v>21824684</v>
      </c>
      <c r="Q99" s="59">
        <f t="shared" si="66"/>
        <v>0.37643759999999998</v>
      </c>
      <c r="R99" s="55" t="str">
        <f t="shared" si="93"/>
        <v>Nivel del indicador que cumple las expectativas</v>
      </c>
      <c r="S99" s="218">
        <v>34995641</v>
      </c>
      <c r="T99" s="215">
        <v>0.75</v>
      </c>
      <c r="U99" s="248">
        <v>28222358</v>
      </c>
      <c r="V99" s="248">
        <v>28222358</v>
      </c>
      <c r="W99" s="248">
        <f t="shared" si="72"/>
        <v>0</v>
      </c>
      <c r="X99" s="59">
        <f t="shared" si="82"/>
        <v>1</v>
      </c>
      <c r="Y99" s="249" t="str">
        <f t="shared" si="83"/>
        <v>Nivel del indicador que satisface y supera las expectativas</v>
      </c>
      <c r="Z99" s="70"/>
      <c r="AA99" s="70"/>
      <c r="AB99" s="70">
        <f t="shared" si="86"/>
        <v>0</v>
      </c>
      <c r="AC99" s="59" t="str">
        <f t="shared" si="87"/>
        <v/>
      </c>
      <c r="AD99" s="55" t="str">
        <f t="shared" si="88"/>
        <v/>
      </c>
      <c r="AH99" s="79">
        <f t="shared" si="89"/>
        <v>0.18821879999999999</v>
      </c>
      <c r="AI99" s="79">
        <f t="shared" si="90"/>
        <v>0.18821879999999999</v>
      </c>
      <c r="AJ99" s="79">
        <f t="shared" si="91"/>
        <v>0.80645352374028523</v>
      </c>
      <c r="AK99" s="79">
        <f t="shared" si="92"/>
        <v>0</v>
      </c>
    </row>
    <row r="100" spans="1:37" ht="45" x14ac:dyDescent="0.25">
      <c r="A100" s="57" t="s">
        <v>440</v>
      </c>
      <c r="B100" s="57" t="s">
        <v>445</v>
      </c>
      <c r="C100" s="54" t="s">
        <v>446</v>
      </c>
      <c r="D100" s="58" t="s">
        <v>447</v>
      </c>
      <c r="E100" s="69">
        <v>50000000</v>
      </c>
      <c r="F100" s="207">
        <v>0.25</v>
      </c>
      <c r="G100" s="155">
        <v>47111142</v>
      </c>
      <c r="H100" s="155">
        <v>47111142</v>
      </c>
      <c r="I100" s="67">
        <f t="shared" si="68"/>
        <v>0</v>
      </c>
      <c r="J100" s="68">
        <f t="shared" si="65"/>
        <v>1</v>
      </c>
      <c r="K100" s="55" t="str">
        <f t="shared" si="95"/>
        <v>Nivel del indicador que satisface y supera las expectativas</v>
      </c>
      <c r="L100" s="179">
        <v>50000000</v>
      </c>
      <c r="M100" s="207">
        <v>0.5</v>
      </c>
      <c r="N100" s="179">
        <v>49706554</v>
      </c>
      <c r="O100" s="179">
        <v>49706554</v>
      </c>
      <c r="P100" s="70">
        <f t="shared" si="70"/>
        <v>0</v>
      </c>
      <c r="Q100" s="59">
        <f t="shared" si="66"/>
        <v>1</v>
      </c>
      <c r="R100" s="55" t="str">
        <f t="shared" si="93"/>
        <v>Nivel del indicador que satisface y supera las expectativas</v>
      </c>
      <c r="S100" s="218">
        <v>85004359</v>
      </c>
      <c r="T100" s="215">
        <v>0.75</v>
      </c>
      <c r="U100" s="248">
        <v>81508968</v>
      </c>
      <c r="V100" s="248">
        <v>81508968</v>
      </c>
      <c r="W100" s="248">
        <f t="shared" si="72"/>
        <v>0</v>
      </c>
      <c r="X100" s="59">
        <f t="shared" si="82"/>
        <v>1</v>
      </c>
      <c r="Y100" s="249" t="str">
        <f t="shared" si="83"/>
        <v>Nivel del indicador que satisface y supera las expectativas</v>
      </c>
      <c r="Z100" s="70"/>
      <c r="AA100" s="70"/>
      <c r="AB100" s="70">
        <f t="shared" si="86"/>
        <v>0</v>
      </c>
      <c r="AC100" s="59" t="str">
        <f t="shared" si="87"/>
        <v/>
      </c>
      <c r="AD100" s="55" t="str">
        <f t="shared" si="88"/>
        <v/>
      </c>
      <c r="AH100" s="79">
        <f t="shared" si="89"/>
        <v>0.94222284000000001</v>
      </c>
      <c r="AI100" s="79">
        <f t="shared" si="90"/>
        <v>0.99413107999999994</v>
      </c>
      <c r="AJ100" s="79">
        <f t="shared" si="91"/>
        <v>0.95887986167862282</v>
      </c>
      <c r="AK100" s="79">
        <f t="shared" si="92"/>
        <v>0</v>
      </c>
    </row>
    <row r="101" spans="1:37" ht="30" x14ac:dyDescent="0.25">
      <c r="A101" s="91" t="s">
        <v>450</v>
      </c>
      <c r="B101" s="91" t="s">
        <v>451</v>
      </c>
      <c r="C101" s="92" t="s">
        <v>452</v>
      </c>
      <c r="D101" s="93" t="s">
        <v>489</v>
      </c>
      <c r="E101" s="121">
        <v>800000</v>
      </c>
      <c r="F101" s="207">
        <v>0.25</v>
      </c>
      <c r="G101" s="116">
        <f t="shared" si="67"/>
        <v>200000</v>
      </c>
      <c r="H101" s="121">
        <v>0</v>
      </c>
      <c r="I101" s="67">
        <f t="shared" si="68"/>
        <v>200000</v>
      </c>
      <c r="J101" s="68">
        <f t="shared" si="65"/>
        <v>0</v>
      </c>
      <c r="K101" s="55" t="str">
        <f t="shared" si="95"/>
        <v/>
      </c>
      <c r="L101" s="78">
        <v>2000000</v>
      </c>
      <c r="M101" s="207">
        <v>0.5</v>
      </c>
      <c r="N101" s="116">
        <f t="shared" si="69"/>
        <v>1000000</v>
      </c>
      <c r="O101" s="121">
        <v>0</v>
      </c>
      <c r="P101" s="70">
        <f t="shared" si="70"/>
        <v>1000000</v>
      </c>
      <c r="Q101" s="59">
        <f t="shared" si="66"/>
        <v>0</v>
      </c>
      <c r="R101" s="55" t="str">
        <f t="shared" ref="R101:R102" si="96">IF(AND(L101&gt;0,O101=""),"¡¡Ojo No se Ejecuto Presupuesto!!",IF(Q101=0%,"",IF(Q101&lt;16%,"Se ha avanzado muy poco o nada en este indicador",IF(Q101&lt;=37%,"Nivel Aceptable del Indicador",IF(Q101&lt;=50%,"Nivel del indicador que cumple las expectativas","Nivel del indicador que satisface y supera las expectativas")))))</f>
        <v/>
      </c>
      <c r="S101" s="218">
        <v>2000000</v>
      </c>
      <c r="T101" s="215">
        <v>0.75</v>
      </c>
      <c r="U101" s="248">
        <f t="shared" si="71"/>
        <v>1500000</v>
      </c>
      <c r="V101" s="248">
        <v>0</v>
      </c>
      <c r="W101" s="248">
        <f t="shared" si="72"/>
        <v>1500000</v>
      </c>
      <c r="X101" s="59">
        <f t="shared" si="82"/>
        <v>0</v>
      </c>
      <c r="Y101" s="249" t="str">
        <f t="shared" si="83"/>
        <v>Se ha avanzado muy poco o nada en este indicador</v>
      </c>
      <c r="Z101" s="70"/>
      <c r="AA101" s="70"/>
      <c r="AB101" s="70">
        <f>Z101-AA101</f>
        <v>0</v>
      </c>
      <c r="AC101" s="59" t="str">
        <f>IF(AB101&gt;0,AA101/Z101,"")</f>
        <v/>
      </c>
      <c r="AD101" s="55" t="str">
        <f>IF(AND(Z101&gt;0,AA101=""),"¡¡Ojo No se Ejecuto Presupuesto!!",IF(AC101="","",IF(AC101&lt;33.99%,"Se ha avanzado muy poco o nada en este indicador",IF(AC101&lt;=75.99%,"Nivel Aceptable del Indicador",IF(AC101&lt;=98.99%,"Nivel del indicador que cumple las expectativas","Nivel del indicador que satisface y supera las expectativas")))))</f>
        <v/>
      </c>
      <c r="AH101" s="79">
        <f>IFERROR((H101/E101),0)</f>
        <v>0</v>
      </c>
      <c r="AI101" s="79">
        <f>IFERROR((O101/L101),0)</f>
        <v>0</v>
      </c>
      <c r="AJ101" s="79">
        <f>IFERROR((V101/S101),0)</f>
        <v>0</v>
      </c>
      <c r="AK101" s="79">
        <f>IFERROR((AA101/Z101),0)</f>
        <v>0</v>
      </c>
    </row>
    <row r="102" spans="1:37" ht="15" customHeight="1" x14ac:dyDescent="0.25">
      <c r="A102" s="91" t="s">
        <v>453</v>
      </c>
      <c r="B102" s="91" t="s">
        <v>454</v>
      </c>
      <c r="C102" s="92" t="s">
        <v>455</v>
      </c>
      <c r="D102" s="93" t="s">
        <v>490</v>
      </c>
      <c r="E102" s="121">
        <v>10500000000</v>
      </c>
      <c r="F102" s="207">
        <v>0.25</v>
      </c>
      <c r="G102" s="116">
        <f t="shared" si="67"/>
        <v>2625000000</v>
      </c>
      <c r="H102" s="121">
        <v>0</v>
      </c>
      <c r="I102" s="67">
        <f t="shared" si="68"/>
        <v>2625000000</v>
      </c>
      <c r="J102" s="68">
        <f t="shared" si="65"/>
        <v>0</v>
      </c>
      <c r="K102" s="55" t="str">
        <f t="shared" si="95"/>
        <v/>
      </c>
      <c r="L102" s="78">
        <v>10500000000</v>
      </c>
      <c r="M102" s="207">
        <v>0.5</v>
      </c>
      <c r="N102" s="116">
        <f t="shared" si="69"/>
        <v>5250000000</v>
      </c>
      <c r="O102" s="121">
        <v>0</v>
      </c>
      <c r="P102" s="70">
        <f t="shared" si="70"/>
        <v>5250000000</v>
      </c>
      <c r="Q102" s="59">
        <f t="shared" si="66"/>
        <v>0</v>
      </c>
      <c r="R102" s="55" t="str">
        <f t="shared" si="96"/>
        <v/>
      </c>
      <c r="S102" s="218">
        <v>10500000000</v>
      </c>
      <c r="T102" s="215">
        <v>0.75</v>
      </c>
      <c r="U102" s="248">
        <f t="shared" si="71"/>
        <v>7875000000</v>
      </c>
      <c r="V102" s="248">
        <v>0</v>
      </c>
      <c r="W102" s="248">
        <f t="shared" si="72"/>
        <v>7875000000</v>
      </c>
      <c r="X102" s="59">
        <f t="shared" si="82"/>
        <v>0</v>
      </c>
      <c r="Y102" s="249" t="str">
        <f t="shared" si="83"/>
        <v>Se ha avanzado muy poco o nada en este indicador</v>
      </c>
      <c r="Z102" s="70"/>
      <c r="AA102" s="70"/>
      <c r="AB102" s="70">
        <f t="shared" ref="AB102:AB118" si="97">Z102-AA102</f>
        <v>0</v>
      </c>
      <c r="AC102" s="59" t="str">
        <f t="shared" ref="AC102:AC118" si="98">IF(AB102&gt;0,AA102/Z102,"")</f>
        <v/>
      </c>
      <c r="AD102" s="55" t="str">
        <f t="shared" ref="AD102:AD118" si="99">IF(AND(Z102&gt;0,AA102=""),"¡¡Ojo No se Ejecuto Presupuesto!!",IF(AC102="","",IF(AC102&lt;33.99%,"Se ha avanzado muy poco o nada en este indicador",IF(AC102&lt;=75.99%,"Nivel Aceptable del Indicador",IF(AC102&lt;=98.99%,"Nivel del indicador que cumple las expectativas","Nivel del indicador que satisface y supera las expectativas")))))</f>
        <v/>
      </c>
      <c r="AH102" s="79">
        <f t="shared" ref="AH102:AH118" si="100">IFERROR((H102/E102),0)</f>
        <v>0</v>
      </c>
      <c r="AI102" s="79">
        <f t="shared" ref="AI102:AI118" si="101">IFERROR((O102/L102),0)</f>
        <v>0</v>
      </c>
      <c r="AJ102" s="79">
        <f t="shared" ref="AJ102:AJ118" si="102">IFERROR((V102/S102),0)</f>
        <v>0</v>
      </c>
      <c r="AK102" s="79">
        <f t="shared" ref="AK102:AK118" si="103">IFERROR((AA102/Z102),0)</f>
        <v>0</v>
      </c>
    </row>
    <row r="103" spans="1:37" ht="90" x14ac:dyDescent="0.25">
      <c r="A103" s="91" t="s">
        <v>453</v>
      </c>
      <c r="B103" s="91" t="s">
        <v>456</v>
      </c>
      <c r="C103" s="92" t="s">
        <v>457</v>
      </c>
      <c r="D103" s="93" t="s">
        <v>491</v>
      </c>
      <c r="E103" s="121">
        <v>3226784071</v>
      </c>
      <c r="F103" s="207">
        <v>0.25</v>
      </c>
      <c r="G103" s="116">
        <f t="shared" si="67"/>
        <v>806696017.75</v>
      </c>
      <c r="H103" s="121">
        <v>770964639</v>
      </c>
      <c r="I103" s="67">
        <f t="shared" si="68"/>
        <v>35731378.75</v>
      </c>
      <c r="J103" s="68">
        <f t="shared" si="65"/>
        <v>0.95570651402289009</v>
      </c>
      <c r="K103" s="55" t="str">
        <f t="shared" si="80"/>
        <v>Nivel del indicador que satisface y supera las expectativas</v>
      </c>
      <c r="L103" s="78">
        <v>3300084071</v>
      </c>
      <c r="M103" s="207">
        <v>0.5</v>
      </c>
      <c r="N103" s="116">
        <f t="shared" si="69"/>
        <v>1650042035.5</v>
      </c>
      <c r="O103" s="121">
        <v>1169205627</v>
      </c>
      <c r="P103" s="70">
        <f t="shared" si="70"/>
        <v>480836408.5</v>
      </c>
      <c r="Q103" s="59">
        <f t="shared" si="66"/>
        <v>0.70859141879116083</v>
      </c>
      <c r="R103" s="55" t="str">
        <f>IF(AND(L103&gt;0,O103=""),"¡¡Ojo No se Ejecuto Presupuesto!!",IF(Q103=0%,"",IF(Q103&lt;16%,"Se ha avanzado muy poco o nada en este indicador",IF(Q103&lt;=37%,"Nivel Aceptable del Indicador",IF(Q103&lt;=50%,"Nivel del indicador que cumple las expectativas","Nivel del indicador que satisface y supera las expectativas")))))</f>
        <v>Nivel del indicador que satisface y supera las expectativas</v>
      </c>
      <c r="S103" s="218">
        <v>3401474973</v>
      </c>
      <c r="T103" s="215">
        <v>0.75</v>
      </c>
      <c r="U103" s="248">
        <f t="shared" si="71"/>
        <v>2551106229.75</v>
      </c>
      <c r="V103" s="248">
        <v>1268096301</v>
      </c>
      <c r="W103" s="248">
        <f t="shared" si="72"/>
        <v>1283009928.75</v>
      </c>
      <c r="X103" s="59">
        <f t="shared" si="82"/>
        <v>0.49707702729582892</v>
      </c>
      <c r="Y103" s="249" t="str">
        <f t="shared" si="83"/>
        <v>Nivel Aceptable del Indicador</v>
      </c>
      <c r="Z103" s="70"/>
      <c r="AA103" s="70"/>
      <c r="AB103" s="70">
        <f t="shared" si="97"/>
        <v>0</v>
      </c>
      <c r="AC103" s="59" t="str">
        <f t="shared" si="98"/>
        <v/>
      </c>
      <c r="AD103" s="55" t="str">
        <f t="shared" si="99"/>
        <v/>
      </c>
      <c r="AH103" s="79">
        <f t="shared" si="100"/>
        <v>0.23892662850572252</v>
      </c>
      <c r="AI103" s="79">
        <f t="shared" si="101"/>
        <v>0.35429570939558042</v>
      </c>
      <c r="AJ103" s="79">
        <f t="shared" si="102"/>
        <v>0.37280777047187169</v>
      </c>
      <c r="AK103" s="79">
        <f t="shared" si="103"/>
        <v>0</v>
      </c>
    </row>
    <row r="104" spans="1:37" ht="45" x14ac:dyDescent="0.25">
      <c r="A104" s="91" t="s">
        <v>453</v>
      </c>
      <c r="B104" s="91" t="s">
        <v>458</v>
      </c>
      <c r="C104" s="92" t="s">
        <v>459</v>
      </c>
      <c r="D104" s="93" t="s">
        <v>492</v>
      </c>
      <c r="E104" s="121">
        <v>763286765</v>
      </c>
      <c r="F104" s="207">
        <v>0.25</v>
      </c>
      <c r="G104" s="116">
        <f t="shared" si="67"/>
        <v>190821691.25</v>
      </c>
      <c r="H104" s="121">
        <v>10000000</v>
      </c>
      <c r="I104" s="67">
        <f t="shared" si="68"/>
        <v>180821691.25</v>
      </c>
      <c r="J104" s="68">
        <f t="shared" si="65"/>
        <v>5.2404943769724606E-2</v>
      </c>
      <c r="K104" s="55" t="str">
        <f t="shared" si="80"/>
        <v>Se ha avanzado muy poco o nada en este indicador</v>
      </c>
      <c r="L104" s="78">
        <v>824291585</v>
      </c>
      <c r="M104" s="207">
        <v>0.5</v>
      </c>
      <c r="N104" s="116">
        <f t="shared" si="69"/>
        <v>412145792.5</v>
      </c>
      <c r="O104" s="121">
        <v>71570681</v>
      </c>
      <c r="P104" s="70">
        <f t="shared" si="70"/>
        <v>340575111.5</v>
      </c>
      <c r="Q104" s="59">
        <f t="shared" si="66"/>
        <v>0.17365379509485104</v>
      </c>
      <c r="R104" s="55" t="str">
        <f t="shared" ref="R104:R118" si="104">IF(AND(L104&gt;0,O104=""),"¡¡Ojo No se Ejecuto Presupuesto!!",IF(Q104=0%,"",IF(Q104&lt;16%,"Se ha avanzado muy poco o nada en este indicador",IF(Q104&lt;=37%,"Nivel Aceptable del Indicador",IF(Q104&lt;=50%,"Nivel del indicador que cumple las expectativas","Nivel del indicador que satisface y supera las expectativas")))))</f>
        <v>Nivel Aceptable del Indicador</v>
      </c>
      <c r="S104" s="218">
        <v>1019031705</v>
      </c>
      <c r="T104" s="215">
        <v>0.75</v>
      </c>
      <c r="U104" s="248">
        <f t="shared" si="71"/>
        <v>764273778.75</v>
      </c>
      <c r="V104" s="248">
        <v>354221964</v>
      </c>
      <c r="W104" s="248">
        <f t="shared" si="72"/>
        <v>410051814.75</v>
      </c>
      <c r="X104" s="59">
        <f t="shared" si="82"/>
        <v>0.46347522818242443</v>
      </c>
      <c r="Y104" s="249" t="str">
        <f t="shared" si="83"/>
        <v>Nivel Aceptable del Indicador</v>
      </c>
      <c r="Z104" s="70"/>
      <c r="AA104" s="70"/>
      <c r="AB104" s="70">
        <f t="shared" si="97"/>
        <v>0</v>
      </c>
      <c r="AC104" s="59" t="str">
        <f t="shared" si="98"/>
        <v/>
      </c>
      <c r="AD104" s="55" t="str">
        <f t="shared" si="99"/>
        <v/>
      </c>
      <c r="AH104" s="79">
        <f t="shared" si="100"/>
        <v>1.3101235942431151E-2</v>
      </c>
      <c r="AI104" s="79">
        <f t="shared" si="101"/>
        <v>8.6826897547425522E-2</v>
      </c>
      <c r="AJ104" s="79">
        <f t="shared" si="102"/>
        <v>0.34760642113681833</v>
      </c>
      <c r="AK104" s="79">
        <f t="shared" si="103"/>
        <v>0</v>
      </c>
    </row>
    <row r="105" spans="1:37" ht="90" x14ac:dyDescent="0.25">
      <c r="A105" s="91" t="s">
        <v>453</v>
      </c>
      <c r="B105" s="91" t="s">
        <v>460</v>
      </c>
      <c r="C105" s="92" t="s">
        <v>461</v>
      </c>
      <c r="D105" s="93" t="s">
        <v>491</v>
      </c>
      <c r="E105" s="121">
        <v>359642932</v>
      </c>
      <c r="F105" s="207">
        <v>0.25</v>
      </c>
      <c r="G105" s="116">
        <f t="shared" si="67"/>
        <v>89910733</v>
      </c>
      <c r="H105" s="121">
        <v>62755234</v>
      </c>
      <c r="I105" s="67">
        <f t="shared" si="68"/>
        <v>27155499</v>
      </c>
      <c r="J105" s="68">
        <f t="shared" si="65"/>
        <v>0.69797266584402107</v>
      </c>
      <c r="K105" s="55" t="str">
        <f t="shared" si="80"/>
        <v>Nivel del indicador que satisface y supera las expectativas</v>
      </c>
      <c r="L105" s="78">
        <v>490587362</v>
      </c>
      <c r="M105" s="207">
        <v>0.5</v>
      </c>
      <c r="N105" s="116">
        <f t="shared" si="69"/>
        <v>245293681</v>
      </c>
      <c r="O105" s="121">
        <v>119194554</v>
      </c>
      <c r="P105" s="70">
        <f t="shared" si="70"/>
        <v>126099127</v>
      </c>
      <c r="Q105" s="59">
        <f t="shared" si="66"/>
        <v>0.4859259052824928</v>
      </c>
      <c r="R105" s="55" t="str">
        <f t="shared" si="104"/>
        <v>Nivel del indicador que cumple las expectativas</v>
      </c>
      <c r="S105" s="218">
        <v>487587362</v>
      </c>
      <c r="T105" s="215">
        <v>0.75</v>
      </c>
      <c r="U105" s="248">
        <v>375878437</v>
      </c>
      <c r="V105" s="248">
        <v>375878437</v>
      </c>
      <c r="W105" s="248">
        <f t="shared" si="72"/>
        <v>0</v>
      </c>
      <c r="X105" s="59">
        <f t="shared" si="82"/>
        <v>1</v>
      </c>
      <c r="Y105" s="249" t="str">
        <f t="shared" si="83"/>
        <v>Nivel del indicador que satisface y supera las expectativas</v>
      </c>
      <c r="Z105" s="70"/>
      <c r="AA105" s="70"/>
      <c r="AB105" s="70">
        <f t="shared" si="97"/>
        <v>0</v>
      </c>
      <c r="AC105" s="59" t="str">
        <f t="shared" si="98"/>
        <v/>
      </c>
      <c r="AD105" s="55" t="str">
        <f t="shared" si="99"/>
        <v/>
      </c>
      <c r="AH105" s="79">
        <f t="shared" si="100"/>
        <v>0.17449316646100527</v>
      </c>
      <c r="AI105" s="79">
        <f t="shared" si="101"/>
        <v>0.2429629526412464</v>
      </c>
      <c r="AJ105" s="79">
        <f t="shared" si="102"/>
        <v>0.77089454381715494</v>
      </c>
      <c r="AK105" s="79">
        <f t="shared" si="103"/>
        <v>0</v>
      </c>
    </row>
    <row r="106" spans="1:37" ht="90" x14ac:dyDescent="0.25">
      <c r="A106" s="91" t="s">
        <v>453</v>
      </c>
      <c r="B106" s="91" t="s">
        <v>462</v>
      </c>
      <c r="C106" s="92" t="s">
        <v>463</v>
      </c>
      <c r="D106" s="93" t="s">
        <v>491</v>
      </c>
      <c r="E106" s="121">
        <v>342930549</v>
      </c>
      <c r="F106" s="207">
        <v>0.25</v>
      </c>
      <c r="G106" s="116">
        <f t="shared" si="67"/>
        <v>85732637.25</v>
      </c>
      <c r="H106" s="121">
        <v>776000</v>
      </c>
      <c r="I106" s="67">
        <f t="shared" si="68"/>
        <v>84956637.25</v>
      </c>
      <c r="J106" s="68">
        <f t="shared" si="65"/>
        <v>9.0513954182600397E-3</v>
      </c>
      <c r="K106" s="55" t="str">
        <f t="shared" si="80"/>
        <v>Se ha avanzado muy poco o nada en este indicador</v>
      </c>
      <c r="L106" s="78">
        <v>366316626</v>
      </c>
      <c r="M106" s="207">
        <v>0.5</v>
      </c>
      <c r="N106" s="116">
        <f t="shared" si="69"/>
        <v>183158313</v>
      </c>
      <c r="O106" s="121">
        <v>776000</v>
      </c>
      <c r="P106" s="70">
        <f t="shared" si="70"/>
        <v>182382313</v>
      </c>
      <c r="Q106" s="59">
        <f t="shared" si="66"/>
        <v>4.2367719340153567E-3</v>
      </c>
      <c r="R106" s="55" t="str">
        <f t="shared" si="104"/>
        <v>Se ha avanzado muy poco o nada en este indicador</v>
      </c>
      <c r="S106" s="217">
        <v>368994111</v>
      </c>
      <c r="T106" s="215">
        <v>0.75</v>
      </c>
      <c r="U106" s="250">
        <f t="shared" si="71"/>
        <v>276745583.25</v>
      </c>
      <c r="V106" s="248">
        <v>776000</v>
      </c>
      <c r="W106" s="248">
        <f t="shared" si="72"/>
        <v>275969583.25</v>
      </c>
      <c r="X106" s="59">
        <f t="shared" si="82"/>
        <v>2.8040194567405079E-3</v>
      </c>
      <c r="Y106" s="249" t="str">
        <f t="shared" si="83"/>
        <v>Se ha avanzado muy poco o nada en este indicador</v>
      </c>
      <c r="Z106" s="70"/>
      <c r="AA106" s="70"/>
      <c r="AB106" s="70">
        <f t="shared" si="97"/>
        <v>0</v>
      </c>
      <c r="AC106" s="59" t="str">
        <f t="shared" si="98"/>
        <v/>
      </c>
      <c r="AD106" s="55" t="str">
        <f t="shared" si="99"/>
        <v/>
      </c>
      <c r="AH106" s="79">
        <f t="shared" si="100"/>
        <v>2.2628488545650099E-3</v>
      </c>
      <c r="AI106" s="79">
        <f t="shared" si="101"/>
        <v>2.1183859670076783E-3</v>
      </c>
      <c r="AJ106" s="79">
        <f t="shared" si="102"/>
        <v>2.1030145925553809E-3</v>
      </c>
      <c r="AK106" s="79">
        <f t="shared" si="103"/>
        <v>0</v>
      </c>
    </row>
    <row r="107" spans="1:37" ht="90" x14ac:dyDescent="0.25">
      <c r="A107" s="91" t="s">
        <v>453</v>
      </c>
      <c r="B107" s="91" t="s">
        <v>464</v>
      </c>
      <c r="C107" s="92" t="s">
        <v>465</v>
      </c>
      <c r="D107" s="93" t="s">
        <v>491</v>
      </c>
      <c r="E107" s="121">
        <v>177751952</v>
      </c>
      <c r="F107" s="207">
        <v>0.25</v>
      </c>
      <c r="G107" s="116">
        <f t="shared" si="67"/>
        <v>44437988</v>
      </c>
      <c r="H107" s="121">
        <v>4164604</v>
      </c>
      <c r="I107" s="67">
        <f t="shared" si="68"/>
        <v>40273384</v>
      </c>
      <c r="J107" s="68">
        <f t="shared" si="65"/>
        <v>9.3717204298268408E-2</v>
      </c>
      <c r="K107" s="55" t="str">
        <f t="shared" si="80"/>
        <v>Nivel Aceptable del Indicador</v>
      </c>
      <c r="L107" s="78">
        <v>180751952</v>
      </c>
      <c r="M107" s="207">
        <v>0.5</v>
      </c>
      <c r="N107" s="116">
        <f t="shared" si="69"/>
        <v>90375976</v>
      </c>
      <c r="O107" s="121">
        <v>5119604</v>
      </c>
      <c r="P107" s="70">
        <f t="shared" si="70"/>
        <v>85256372</v>
      </c>
      <c r="Q107" s="59">
        <f t="shared" si="66"/>
        <v>5.664784189993146E-2</v>
      </c>
      <c r="R107" s="55" t="str">
        <f t="shared" si="104"/>
        <v>Se ha avanzado muy poco o nada en este indicador</v>
      </c>
      <c r="S107" s="218">
        <v>180751952</v>
      </c>
      <c r="T107" s="215">
        <v>0.75</v>
      </c>
      <c r="U107" s="250">
        <f t="shared" si="71"/>
        <v>135563964</v>
      </c>
      <c r="V107" s="248">
        <v>23628627</v>
      </c>
      <c r="W107" s="248">
        <f t="shared" si="72"/>
        <v>111935337</v>
      </c>
      <c r="X107" s="59">
        <f t="shared" si="82"/>
        <v>0.17429873177801145</v>
      </c>
      <c r="Y107" s="249" t="str">
        <f t="shared" si="83"/>
        <v>Se ha avanzado muy poco o nada en este indicador</v>
      </c>
      <c r="Z107" s="70"/>
      <c r="AA107" s="70"/>
      <c r="AB107" s="70">
        <f t="shared" si="97"/>
        <v>0</v>
      </c>
      <c r="AC107" s="59" t="str">
        <f t="shared" si="98"/>
        <v/>
      </c>
      <c r="AD107" s="55" t="str">
        <f t="shared" si="99"/>
        <v/>
      </c>
      <c r="AH107" s="79">
        <f t="shared" si="100"/>
        <v>2.3429301074567102E-2</v>
      </c>
      <c r="AI107" s="79">
        <f t="shared" si="101"/>
        <v>2.832392094996573E-2</v>
      </c>
      <c r="AJ107" s="79">
        <f t="shared" si="102"/>
        <v>0.13072404883350858</v>
      </c>
      <c r="AK107" s="79">
        <f t="shared" si="103"/>
        <v>0</v>
      </c>
    </row>
    <row r="108" spans="1:37" ht="60" x14ac:dyDescent="0.25">
      <c r="A108" s="91" t="s">
        <v>453</v>
      </c>
      <c r="B108" s="91" t="s">
        <v>466</v>
      </c>
      <c r="C108" s="92" t="s">
        <v>467</v>
      </c>
      <c r="D108" s="93" t="s">
        <v>493</v>
      </c>
      <c r="E108" s="121">
        <v>7000000</v>
      </c>
      <c r="F108" s="207">
        <v>0.25</v>
      </c>
      <c r="G108" s="121">
        <v>2000000</v>
      </c>
      <c r="H108" s="121">
        <v>2000000</v>
      </c>
      <c r="I108" s="67">
        <f t="shared" si="68"/>
        <v>0</v>
      </c>
      <c r="J108" s="68">
        <f t="shared" si="65"/>
        <v>1</v>
      </c>
      <c r="K108" s="55" t="str">
        <f t="shared" si="80"/>
        <v>Nivel del indicador que satisface y supera las expectativas</v>
      </c>
      <c r="L108" s="78">
        <v>10500000</v>
      </c>
      <c r="M108" s="207">
        <v>0.5</v>
      </c>
      <c r="N108" s="116">
        <f t="shared" si="69"/>
        <v>5250000</v>
      </c>
      <c r="O108" s="121">
        <v>2000000</v>
      </c>
      <c r="P108" s="70">
        <f t="shared" si="70"/>
        <v>3250000</v>
      </c>
      <c r="Q108" s="59">
        <f t="shared" si="66"/>
        <v>0.38095238095238093</v>
      </c>
      <c r="R108" s="55" t="str">
        <f t="shared" si="104"/>
        <v>Nivel del indicador que cumple las expectativas</v>
      </c>
      <c r="S108" s="218">
        <v>10500000</v>
      </c>
      <c r="T108" s="215">
        <v>0.75</v>
      </c>
      <c r="U108" s="248">
        <f t="shared" si="71"/>
        <v>7875000</v>
      </c>
      <c r="V108" s="248">
        <v>3000000</v>
      </c>
      <c r="W108" s="248">
        <f t="shared" si="72"/>
        <v>4875000</v>
      </c>
      <c r="X108" s="59">
        <f t="shared" si="82"/>
        <v>0.38095238095238093</v>
      </c>
      <c r="Y108" s="249" t="str">
        <f t="shared" si="83"/>
        <v>Nivel Aceptable del Indicador</v>
      </c>
      <c r="Z108" s="70"/>
      <c r="AA108" s="70"/>
      <c r="AB108" s="70">
        <f t="shared" si="97"/>
        <v>0</v>
      </c>
      <c r="AC108" s="59" t="str">
        <f t="shared" si="98"/>
        <v/>
      </c>
      <c r="AD108" s="55" t="str">
        <f t="shared" si="99"/>
        <v/>
      </c>
      <c r="AH108" s="79">
        <f t="shared" si="100"/>
        <v>0.2857142857142857</v>
      </c>
      <c r="AI108" s="79">
        <f t="shared" si="101"/>
        <v>0.19047619047619047</v>
      </c>
      <c r="AJ108" s="79">
        <f t="shared" si="102"/>
        <v>0.2857142857142857</v>
      </c>
      <c r="AK108" s="79">
        <f t="shared" si="103"/>
        <v>0</v>
      </c>
    </row>
    <row r="109" spans="1:37" ht="45" x14ac:dyDescent="0.25">
      <c r="A109" s="91" t="s">
        <v>453</v>
      </c>
      <c r="B109" s="91" t="s">
        <v>468</v>
      </c>
      <c r="C109" s="92" t="s">
        <v>469</v>
      </c>
      <c r="D109" s="93" t="s">
        <v>494</v>
      </c>
      <c r="E109" s="121">
        <v>357118899</v>
      </c>
      <c r="F109" s="207">
        <v>0.25</v>
      </c>
      <c r="G109" s="116">
        <f t="shared" si="67"/>
        <v>89279724.75</v>
      </c>
      <c r="H109" s="121">
        <v>34790007</v>
      </c>
      <c r="I109" s="67">
        <f t="shared" si="68"/>
        <v>54489717.75</v>
      </c>
      <c r="J109" s="68">
        <f t="shared" si="65"/>
        <v>0.38967421883768744</v>
      </c>
      <c r="K109" s="55" t="str">
        <f t="shared" si="80"/>
        <v>Nivel del indicador que satisface y supera las expectativas</v>
      </c>
      <c r="L109" s="78">
        <v>353618899</v>
      </c>
      <c r="M109" s="207">
        <v>0.5</v>
      </c>
      <c r="N109" s="116">
        <f t="shared" si="69"/>
        <v>176809449.5</v>
      </c>
      <c r="O109" s="121">
        <v>34790007</v>
      </c>
      <c r="P109" s="70">
        <f t="shared" si="70"/>
        <v>142019442.5</v>
      </c>
      <c r="Q109" s="59">
        <f t="shared" si="66"/>
        <v>0.19676554108608318</v>
      </c>
      <c r="R109" s="55" t="str">
        <f t="shared" si="104"/>
        <v>Nivel Aceptable del Indicador</v>
      </c>
      <c r="S109" s="218">
        <v>165539437</v>
      </c>
      <c r="T109" s="215">
        <v>0.75</v>
      </c>
      <c r="U109" s="248">
        <v>161732324</v>
      </c>
      <c r="V109" s="248">
        <v>161732324</v>
      </c>
      <c r="W109" s="248">
        <f t="shared" si="72"/>
        <v>0</v>
      </c>
      <c r="X109" s="59">
        <f t="shared" si="82"/>
        <v>1</v>
      </c>
      <c r="Y109" s="249" t="str">
        <f t="shared" si="83"/>
        <v>Nivel del indicador que satisface y supera las expectativas</v>
      </c>
      <c r="Z109" s="70"/>
      <c r="AA109" s="70"/>
      <c r="AB109" s="70">
        <f t="shared" si="97"/>
        <v>0</v>
      </c>
      <c r="AC109" s="59" t="str">
        <f t="shared" si="98"/>
        <v/>
      </c>
      <c r="AD109" s="55" t="str">
        <f t="shared" si="99"/>
        <v/>
      </c>
      <c r="AH109" s="79">
        <f t="shared" si="100"/>
        <v>9.7418554709421859E-2</v>
      </c>
      <c r="AI109" s="79">
        <f t="shared" si="101"/>
        <v>9.8382770543041592E-2</v>
      </c>
      <c r="AJ109" s="79">
        <f t="shared" si="102"/>
        <v>0.97700177631992313</v>
      </c>
      <c r="AK109" s="79">
        <f t="shared" si="103"/>
        <v>0</v>
      </c>
    </row>
    <row r="110" spans="1:37" ht="28.5" customHeight="1" x14ac:dyDescent="0.25">
      <c r="A110" s="91" t="s">
        <v>453</v>
      </c>
      <c r="B110" s="91" t="s">
        <v>470</v>
      </c>
      <c r="C110" s="92" t="s">
        <v>471</v>
      </c>
      <c r="D110" s="93" t="s">
        <v>495</v>
      </c>
      <c r="E110" s="121">
        <v>350000000</v>
      </c>
      <c r="F110" s="207">
        <v>0.25</v>
      </c>
      <c r="G110" s="121">
        <v>254825944</v>
      </c>
      <c r="H110" s="121">
        <v>254825944</v>
      </c>
      <c r="I110" s="67">
        <f t="shared" si="68"/>
        <v>0</v>
      </c>
      <c r="J110" s="68">
        <f t="shared" si="65"/>
        <v>1</v>
      </c>
      <c r="K110" s="55" t="str">
        <f t="shared" si="80"/>
        <v>Nivel del indicador que satisface y supera las expectativas</v>
      </c>
      <c r="L110" s="78">
        <v>350000000</v>
      </c>
      <c r="M110" s="207">
        <v>0.5</v>
      </c>
      <c r="N110" s="121">
        <v>254825944</v>
      </c>
      <c r="O110" s="121">
        <v>254825944</v>
      </c>
      <c r="P110" s="70">
        <f t="shared" si="70"/>
        <v>0</v>
      </c>
      <c r="Q110" s="59">
        <f t="shared" si="66"/>
        <v>1</v>
      </c>
      <c r="R110" s="55" t="str">
        <f t="shared" si="104"/>
        <v>Nivel del indicador que satisface y supera las expectativas</v>
      </c>
      <c r="S110" s="218">
        <v>538079462</v>
      </c>
      <c r="T110" s="215">
        <v>0.75</v>
      </c>
      <c r="U110" s="248">
        <v>536872121</v>
      </c>
      <c r="V110" s="248">
        <v>536872121</v>
      </c>
      <c r="W110" s="248">
        <f t="shared" si="72"/>
        <v>0</v>
      </c>
      <c r="X110" s="59">
        <f t="shared" si="82"/>
        <v>1</v>
      </c>
      <c r="Y110" s="249" t="str">
        <f t="shared" si="83"/>
        <v>Nivel del indicador que satisface y supera las expectativas</v>
      </c>
      <c r="Z110" s="70"/>
      <c r="AA110" s="70"/>
      <c r="AB110" s="70">
        <f t="shared" si="97"/>
        <v>0</v>
      </c>
      <c r="AC110" s="59" t="str">
        <f t="shared" si="98"/>
        <v/>
      </c>
      <c r="AD110" s="55" t="str">
        <f t="shared" si="99"/>
        <v/>
      </c>
      <c r="AH110" s="79">
        <f t="shared" si="100"/>
        <v>0.72807412571428576</v>
      </c>
      <c r="AI110" s="79">
        <f t="shared" si="101"/>
        <v>0.72807412571428576</v>
      </c>
      <c r="AJ110" s="79">
        <f t="shared" si="102"/>
        <v>0.99775620315350377</v>
      </c>
      <c r="AK110" s="79">
        <f t="shared" si="103"/>
        <v>0</v>
      </c>
    </row>
    <row r="111" spans="1:37" ht="45" x14ac:dyDescent="0.25">
      <c r="A111" s="91" t="s">
        <v>472</v>
      </c>
      <c r="B111" s="91" t="s">
        <v>473</v>
      </c>
      <c r="C111" s="92" t="s">
        <v>474</v>
      </c>
      <c r="D111" s="93" t="s">
        <v>496</v>
      </c>
      <c r="E111" s="121">
        <v>60000000</v>
      </c>
      <c r="F111" s="207">
        <v>0.25</v>
      </c>
      <c r="G111" s="121">
        <v>58527120</v>
      </c>
      <c r="H111" s="121">
        <v>58527120</v>
      </c>
      <c r="I111" s="67">
        <f t="shared" si="68"/>
        <v>0</v>
      </c>
      <c r="J111" s="68">
        <f t="shared" si="65"/>
        <v>1</v>
      </c>
      <c r="K111" s="55" t="str">
        <f t="shared" si="80"/>
        <v>Nivel del indicador que satisface y supera las expectativas</v>
      </c>
      <c r="L111" s="78">
        <v>62190823</v>
      </c>
      <c r="M111" s="207">
        <v>0.5</v>
      </c>
      <c r="N111" s="121">
        <v>60717943</v>
      </c>
      <c r="O111" s="121">
        <v>60717943</v>
      </c>
      <c r="P111" s="70">
        <f t="shared" si="70"/>
        <v>0</v>
      </c>
      <c r="Q111" s="59">
        <f t="shared" si="66"/>
        <v>1</v>
      </c>
      <c r="R111" s="55" t="str">
        <f t="shared" si="104"/>
        <v>Nivel del indicador que satisface y supera las expectativas</v>
      </c>
      <c r="S111" s="218">
        <v>81134589</v>
      </c>
      <c r="T111" s="215">
        <v>0.75</v>
      </c>
      <c r="U111" s="248">
        <v>81025990</v>
      </c>
      <c r="V111" s="248">
        <v>81025990</v>
      </c>
      <c r="W111" s="248">
        <f t="shared" si="72"/>
        <v>0</v>
      </c>
      <c r="X111" s="59">
        <f t="shared" si="82"/>
        <v>1</v>
      </c>
      <c r="Y111" s="249" t="str">
        <f t="shared" si="83"/>
        <v>Nivel del indicador que satisface y supera las expectativas</v>
      </c>
      <c r="Z111" s="70"/>
      <c r="AA111" s="70"/>
      <c r="AB111" s="70">
        <f t="shared" si="97"/>
        <v>0</v>
      </c>
      <c r="AC111" s="59" t="str">
        <f t="shared" si="98"/>
        <v/>
      </c>
      <c r="AD111" s="55" t="str">
        <f t="shared" si="99"/>
        <v/>
      </c>
      <c r="AH111" s="79">
        <f t="shared" si="100"/>
        <v>0.97545199999999999</v>
      </c>
      <c r="AI111" s="79">
        <f t="shared" si="101"/>
        <v>0.9763167630053714</v>
      </c>
      <c r="AJ111" s="79">
        <f t="shared" si="102"/>
        <v>0.99866149565384499</v>
      </c>
      <c r="AK111" s="79">
        <f t="shared" si="103"/>
        <v>0</v>
      </c>
    </row>
    <row r="112" spans="1:37" ht="32.25" customHeight="1" x14ac:dyDescent="0.25">
      <c r="A112" s="91" t="s">
        <v>472</v>
      </c>
      <c r="B112" s="91" t="s">
        <v>475</v>
      </c>
      <c r="C112" s="92" t="s">
        <v>476</v>
      </c>
      <c r="D112" s="93" t="s">
        <v>496</v>
      </c>
      <c r="E112" s="121">
        <v>75397803</v>
      </c>
      <c r="F112" s="207">
        <v>0.25</v>
      </c>
      <c r="G112" s="121">
        <v>70722703</v>
      </c>
      <c r="H112" s="121">
        <v>70722703</v>
      </c>
      <c r="I112" s="67">
        <f t="shared" si="68"/>
        <v>0</v>
      </c>
      <c r="J112" s="68">
        <f t="shared" si="65"/>
        <v>1</v>
      </c>
      <c r="K112" s="55" t="str">
        <f t="shared" si="80"/>
        <v>Nivel del indicador que satisface y supera las expectativas</v>
      </c>
      <c r="L112" s="78">
        <v>81970272</v>
      </c>
      <c r="M112" s="207">
        <v>0.5</v>
      </c>
      <c r="N112" s="121">
        <v>77295172</v>
      </c>
      <c r="O112" s="121">
        <v>77295172</v>
      </c>
      <c r="P112" s="70">
        <f t="shared" si="70"/>
        <v>0</v>
      </c>
      <c r="Q112" s="59">
        <f t="shared" si="66"/>
        <v>1</v>
      </c>
      <c r="R112" s="55" t="str">
        <f t="shared" si="104"/>
        <v>Nivel del indicador que satisface y supera las expectativas</v>
      </c>
      <c r="S112" s="218">
        <v>107130976</v>
      </c>
      <c r="T112" s="215">
        <v>0.75</v>
      </c>
      <c r="U112" s="248">
        <v>98296035</v>
      </c>
      <c r="V112" s="248">
        <v>98296035</v>
      </c>
      <c r="W112" s="248">
        <f t="shared" si="72"/>
        <v>0</v>
      </c>
      <c r="X112" s="59">
        <f t="shared" si="82"/>
        <v>1</v>
      </c>
      <c r="Y112" s="249" t="str">
        <f t="shared" si="83"/>
        <v>Nivel del indicador que satisface y supera las expectativas</v>
      </c>
      <c r="Z112" s="70"/>
      <c r="AA112" s="70"/>
      <c r="AB112" s="70">
        <f t="shared" si="97"/>
        <v>0</v>
      </c>
      <c r="AC112" s="59" t="str">
        <f t="shared" si="98"/>
        <v/>
      </c>
      <c r="AD112" s="55" t="str">
        <f t="shared" si="99"/>
        <v/>
      </c>
      <c r="AH112" s="79">
        <f t="shared" si="100"/>
        <v>0.93799421449985754</v>
      </c>
      <c r="AI112" s="79">
        <f t="shared" si="101"/>
        <v>0.94296590842104322</v>
      </c>
      <c r="AJ112" s="79">
        <f t="shared" si="102"/>
        <v>0.91753140566926228</v>
      </c>
      <c r="AK112" s="79">
        <f t="shared" si="103"/>
        <v>0</v>
      </c>
    </row>
    <row r="113" spans="1:37" ht="34.5" customHeight="1" x14ac:dyDescent="0.25">
      <c r="A113" s="91" t="s">
        <v>472</v>
      </c>
      <c r="B113" s="91" t="s">
        <v>477</v>
      </c>
      <c r="C113" s="92" t="s">
        <v>478</v>
      </c>
      <c r="D113" s="93" t="s">
        <v>496</v>
      </c>
      <c r="E113" s="121">
        <v>20000000</v>
      </c>
      <c r="F113" s="207">
        <v>0.25</v>
      </c>
      <c r="G113" s="116">
        <f t="shared" si="67"/>
        <v>5000000</v>
      </c>
      <c r="H113" s="121">
        <v>0</v>
      </c>
      <c r="I113" s="67">
        <f t="shared" si="68"/>
        <v>5000000</v>
      </c>
      <c r="J113" s="68">
        <f t="shared" si="65"/>
        <v>0</v>
      </c>
      <c r="K113" s="55" t="str">
        <f t="shared" ref="K113:K117" si="105">IF(AND(E113&gt;0,H113=""),"¡¡Ojo No se Ejecuto Presupuesto!!",IF(J113=0%,"",IF(J113&lt;9%,"Se ha avanzado muy poco o nada en este indicador",IF(J113&lt;=20%,"Nivel Aceptable del Indicador",IF(J113&lt;=25%,"Nivel del indicador que cumple las expectativas","Nivel del indicador que satisface y supera las expectativas")))))</f>
        <v/>
      </c>
      <c r="L113" s="78">
        <v>11236708</v>
      </c>
      <c r="M113" s="207">
        <v>0.5</v>
      </c>
      <c r="N113" s="116">
        <f t="shared" si="69"/>
        <v>5618354</v>
      </c>
      <c r="O113" s="121">
        <v>0</v>
      </c>
      <c r="P113" s="70">
        <f t="shared" si="70"/>
        <v>5618354</v>
      </c>
      <c r="Q113" s="59">
        <f t="shared" ref="Q113:Q117" si="106">IFERROR((O113/N113),0)</f>
        <v>0</v>
      </c>
      <c r="R113" s="55" t="str">
        <f t="shared" ref="R113:R117" si="107">IF(AND(L113&gt;0,O113=""),"¡¡Ojo No se Ejecuto Presupuesto!!",IF(Q113=0%,"",IF(Q113&lt;16%,"Se ha avanzado muy poco o nada en este indicador",IF(Q113&lt;=37%,"Nivel Aceptable del Indicador",IF(Q113&lt;=50%,"Nivel del indicador que cumple las expectativas","Nivel del indicador que satisface y supera las expectativas")))))</f>
        <v/>
      </c>
      <c r="S113" s="218">
        <v>8371081</v>
      </c>
      <c r="T113" s="215">
        <v>0.75</v>
      </c>
      <c r="U113" s="248">
        <f t="shared" si="71"/>
        <v>6278310.75</v>
      </c>
      <c r="V113" s="248">
        <v>0</v>
      </c>
      <c r="W113" s="248">
        <f t="shared" si="72"/>
        <v>6278310.75</v>
      </c>
      <c r="X113" s="59">
        <f t="shared" si="82"/>
        <v>0</v>
      </c>
      <c r="Y113" s="249" t="str">
        <f t="shared" si="83"/>
        <v>Se ha avanzado muy poco o nada en este indicador</v>
      </c>
      <c r="Z113" s="70"/>
      <c r="AA113" s="70"/>
      <c r="AB113" s="70">
        <f t="shared" si="97"/>
        <v>0</v>
      </c>
      <c r="AC113" s="59" t="str">
        <f t="shared" si="98"/>
        <v/>
      </c>
      <c r="AD113" s="55" t="str">
        <f t="shared" si="99"/>
        <v/>
      </c>
      <c r="AH113" s="79">
        <f t="shared" si="100"/>
        <v>0</v>
      </c>
      <c r="AI113" s="79">
        <f t="shared" si="101"/>
        <v>0</v>
      </c>
      <c r="AJ113" s="79">
        <f t="shared" si="102"/>
        <v>0</v>
      </c>
      <c r="AK113" s="79">
        <f t="shared" si="103"/>
        <v>0</v>
      </c>
    </row>
    <row r="114" spans="1:37" ht="37.5" customHeight="1" x14ac:dyDescent="0.25">
      <c r="A114" s="91" t="s">
        <v>472</v>
      </c>
      <c r="B114" s="91" t="s">
        <v>479</v>
      </c>
      <c r="C114" s="92" t="s">
        <v>480</v>
      </c>
      <c r="D114" s="93" t="s">
        <v>495</v>
      </c>
      <c r="E114" s="121">
        <v>50000000</v>
      </c>
      <c r="F114" s="207">
        <v>0.25</v>
      </c>
      <c r="G114" s="116">
        <f t="shared" si="67"/>
        <v>12500000</v>
      </c>
      <c r="H114" s="121">
        <v>0</v>
      </c>
      <c r="I114" s="67">
        <f t="shared" si="68"/>
        <v>12500000</v>
      </c>
      <c r="J114" s="68">
        <f t="shared" si="65"/>
        <v>0</v>
      </c>
      <c r="K114" s="55" t="str">
        <f t="shared" si="105"/>
        <v/>
      </c>
      <c r="L114" s="78">
        <v>50000000</v>
      </c>
      <c r="M114" s="207">
        <v>0.5</v>
      </c>
      <c r="N114" s="116">
        <f t="shared" si="69"/>
        <v>25000000</v>
      </c>
      <c r="O114" s="121">
        <v>0</v>
      </c>
      <c r="P114" s="70">
        <f t="shared" si="70"/>
        <v>25000000</v>
      </c>
      <c r="Q114" s="59">
        <f t="shared" si="106"/>
        <v>0</v>
      </c>
      <c r="R114" s="55" t="str">
        <f t="shared" si="107"/>
        <v/>
      </c>
      <c r="S114" s="218">
        <v>50000000</v>
      </c>
      <c r="T114" s="215">
        <v>0.75</v>
      </c>
      <c r="U114" s="248">
        <v>48026000</v>
      </c>
      <c r="V114" s="248">
        <v>48026000</v>
      </c>
      <c r="W114" s="248">
        <f>U114-V114</f>
        <v>0</v>
      </c>
      <c r="X114" s="59">
        <f t="shared" si="82"/>
        <v>1</v>
      </c>
      <c r="Y114" s="249" t="str">
        <f t="shared" si="83"/>
        <v>Nivel del indicador que satisface y supera las expectativas</v>
      </c>
      <c r="Z114" s="70"/>
      <c r="AA114" s="70"/>
      <c r="AB114" s="70">
        <f t="shared" si="97"/>
        <v>0</v>
      </c>
      <c r="AC114" s="59" t="str">
        <f t="shared" si="98"/>
        <v/>
      </c>
      <c r="AD114" s="55" t="str">
        <f t="shared" si="99"/>
        <v/>
      </c>
      <c r="AH114" s="79">
        <f t="shared" si="100"/>
        <v>0</v>
      </c>
      <c r="AI114" s="79">
        <f t="shared" si="101"/>
        <v>0</v>
      </c>
      <c r="AJ114" s="79">
        <f t="shared" si="102"/>
        <v>0.96052000000000004</v>
      </c>
      <c r="AK114" s="79">
        <f t="shared" si="103"/>
        <v>0</v>
      </c>
    </row>
    <row r="115" spans="1:37" ht="75" x14ac:dyDescent="0.25">
      <c r="A115" s="91" t="s">
        <v>472</v>
      </c>
      <c r="B115" s="91" t="s">
        <v>481</v>
      </c>
      <c r="C115" s="92" t="s">
        <v>482</v>
      </c>
      <c r="D115" s="93" t="s">
        <v>497</v>
      </c>
      <c r="E115" s="121">
        <v>0</v>
      </c>
      <c r="F115" s="207">
        <v>0.25</v>
      </c>
      <c r="G115" s="116">
        <f t="shared" si="67"/>
        <v>0</v>
      </c>
      <c r="H115" s="121">
        <v>0.1</v>
      </c>
      <c r="I115" s="67">
        <f t="shared" si="68"/>
        <v>-0.1</v>
      </c>
      <c r="J115" s="68">
        <f t="shared" si="65"/>
        <v>0</v>
      </c>
      <c r="K115" s="55" t="str">
        <f t="shared" si="105"/>
        <v/>
      </c>
      <c r="L115" s="78">
        <v>0</v>
      </c>
      <c r="M115" s="207">
        <v>0.5</v>
      </c>
      <c r="N115" s="116">
        <f t="shared" si="69"/>
        <v>0</v>
      </c>
      <c r="O115" s="121">
        <v>0</v>
      </c>
      <c r="P115" s="70">
        <f t="shared" si="70"/>
        <v>0</v>
      </c>
      <c r="Q115" s="59">
        <f t="shared" si="106"/>
        <v>0</v>
      </c>
      <c r="R115" s="55" t="str">
        <f t="shared" si="107"/>
        <v/>
      </c>
      <c r="S115" s="218">
        <v>0</v>
      </c>
      <c r="T115" s="215">
        <v>0.75</v>
      </c>
      <c r="U115" s="248">
        <f t="shared" ref="U115:U117" si="108">+S115*T115</f>
        <v>0</v>
      </c>
      <c r="V115" s="248">
        <v>0</v>
      </c>
      <c r="W115" s="248">
        <f t="shared" ref="W115:W117" si="109">U115-V115</f>
        <v>0</v>
      </c>
      <c r="X115" s="59">
        <f t="shared" si="82"/>
        <v>0</v>
      </c>
      <c r="Y115" s="249" t="str">
        <f t="shared" si="83"/>
        <v>Se ha avanzado muy poco o nada en este indicador</v>
      </c>
      <c r="Z115" s="70"/>
      <c r="AA115" s="70"/>
      <c r="AB115" s="70">
        <f t="shared" si="97"/>
        <v>0</v>
      </c>
      <c r="AC115" s="59" t="str">
        <f t="shared" si="98"/>
        <v/>
      </c>
      <c r="AD115" s="55" t="str">
        <f t="shared" si="99"/>
        <v/>
      </c>
      <c r="AH115" s="79">
        <f t="shared" si="100"/>
        <v>0</v>
      </c>
      <c r="AI115" s="79">
        <f t="shared" si="101"/>
        <v>0</v>
      </c>
      <c r="AJ115" s="79">
        <f t="shared" si="102"/>
        <v>0</v>
      </c>
      <c r="AK115" s="79">
        <f t="shared" si="103"/>
        <v>0</v>
      </c>
    </row>
    <row r="116" spans="1:37" s="192" customFormat="1" ht="25.5" customHeight="1" x14ac:dyDescent="0.25">
      <c r="A116" s="221" t="s">
        <v>472</v>
      </c>
      <c r="B116" s="221" t="s">
        <v>846</v>
      </c>
      <c r="C116" s="222" t="s">
        <v>847</v>
      </c>
      <c r="D116" s="223"/>
      <c r="E116" s="224"/>
      <c r="F116" s="225"/>
      <c r="G116" s="226"/>
      <c r="H116" s="224"/>
      <c r="I116" s="227"/>
      <c r="J116" s="228"/>
      <c r="K116" s="229"/>
      <c r="L116" s="230"/>
      <c r="M116" s="225"/>
      <c r="N116" s="226"/>
      <c r="O116" s="224"/>
      <c r="P116" s="231"/>
      <c r="Q116" s="59">
        <f t="shared" si="106"/>
        <v>0</v>
      </c>
      <c r="R116" s="55" t="str">
        <f t="shared" si="107"/>
        <v/>
      </c>
      <c r="S116" s="244">
        <v>32852574</v>
      </c>
      <c r="T116" s="215">
        <v>0.75</v>
      </c>
      <c r="U116" s="248">
        <f>+S116*T116</f>
        <v>24639430.5</v>
      </c>
      <c r="V116" s="248">
        <v>23217663</v>
      </c>
      <c r="W116" s="248">
        <f t="shared" si="109"/>
        <v>1421767.5</v>
      </c>
      <c r="X116" s="59">
        <f t="shared" si="82"/>
        <v>0.94229706323772378</v>
      </c>
      <c r="Y116" s="249" t="str">
        <f t="shared" si="83"/>
        <v>Nivel del indicador que satisface y supera las expectativas</v>
      </c>
      <c r="Z116" s="231"/>
      <c r="AA116" s="231"/>
      <c r="AB116" s="231"/>
      <c r="AC116" s="228"/>
      <c r="AD116" s="229"/>
      <c r="AH116" s="232"/>
      <c r="AI116" s="232"/>
      <c r="AJ116" s="232"/>
      <c r="AK116" s="232"/>
    </row>
    <row r="117" spans="1:37" ht="45" x14ac:dyDescent="0.25">
      <c r="A117" s="91" t="s">
        <v>483</v>
      </c>
      <c r="B117" s="91" t="s">
        <v>484</v>
      </c>
      <c r="C117" s="92" t="s">
        <v>485</v>
      </c>
      <c r="D117" s="93" t="s">
        <v>498</v>
      </c>
      <c r="E117" s="121">
        <v>0</v>
      </c>
      <c r="F117" s="207">
        <v>0.25</v>
      </c>
      <c r="G117" s="116">
        <f t="shared" si="67"/>
        <v>0</v>
      </c>
      <c r="H117" s="121">
        <v>0.1</v>
      </c>
      <c r="I117" s="67">
        <f t="shared" si="68"/>
        <v>-0.1</v>
      </c>
      <c r="J117" s="68">
        <f t="shared" si="65"/>
        <v>0</v>
      </c>
      <c r="K117" s="55" t="str">
        <f t="shared" si="105"/>
        <v/>
      </c>
      <c r="L117" s="78">
        <v>0</v>
      </c>
      <c r="M117" s="207">
        <v>0.5</v>
      </c>
      <c r="N117" s="116">
        <f t="shared" si="69"/>
        <v>0</v>
      </c>
      <c r="O117" s="121">
        <v>0</v>
      </c>
      <c r="P117" s="70">
        <f t="shared" si="70"/>
        <v>0</v>
      </c>
      <c r="Q117" s="59">
        <f t="shared" si="106"/>
        <v>0</v>
      </c>
      <c r="R117" s="55" t="str">
        <f t="shared" si="107"/>
        <v/>
      </c>
      <c r="S117" s="218">
        <v>0</v>
      </c>
      <c r="T117" s="215">
        <v>0.75</v>
      </c>
      <c r="U117" s="248">
        <f t="shared" si="108"/>
        <v>0</v>
      </c>
      <c r="V117" s="248">
        <v>0</v>
      </c>
      <c r="W117" s="248">
        <f t="shared" si="109"/>
        <v>0</v>
      </c>
      <c r="X117" s="59">
        <f t="shared" si="82"/>
        <v>0</v>
      </c>
      <c r="Y117" s="249" t="str">
        <f t="shared" si="83"/>
        <v>Se ha avanzado muy poco o nada en este indicador</v>
      </c>
      <c r="Z117" s="70"/>
      <c r="AA117" s="70"/>
      <c r="AB117" s="70">
        <f t="shared" si="97"/>
        <v>0</v>
      </c>
      <c r="AC117" s="59" t="str">
        <f t="shared" si="98"/>
        <v/>
      </c>
      <c r="AD117" s="55" t="str">
        <f t="shared" si="99"/>
        <v/>
      </c>
      <c r="AH117" s="79">
        <f t="shared" si="100"/>
        <v>0</v>
      </c>
      <c r="AI117" s="79">
        <f t="shared" si="101"/>
        <v>0</v>
      </c>
      <c r="AJ117" s="79">
        <f t="shared" si="102"/>
        <v>0</v>
      </c>
      <c r="AK117" s="79">
        <f t="shared" si="103"/>
        <v>0</v>
      </c>
    </row>
    <row r="118" spans="1:37" ht="45" x14ac:dyDescent="0.25">
      <c r="A118" s="91" t="s">
        <v>486</v>
      </c>
      <c r="B118" s="91" t="s">
        <v>487</v>
      </c>
      <c r="C118" s="92" t="s">
        <v>488</v>
      </c>
      <c r="D118" s="93" t="s">
        <v>499</v>
      </c>
      <c r="E118" s="120">
        <v>221000000</v>
      </c>
      <c r="F118" s="207">
        <v>0.25</v>
      </c>
      <c r="G118" s="120">
        <v>90106833</v>
      </c>
      <c r="H118" s="120">
        <v>90106833</v>
      </c>
      <c r="I118" s="67">
        <f t="shared" si="68"/>
        <v>0</v>
      </c>
      <c r="J118" s="68">
        <f t="shared" si="65"/>
        <v>1</v>
      </c>
      <c r="K118" s="55" t="str">
        <f t="shared" si="80"/>
        <v>Nivel del indicador que satisface y supera las expectativas</v>
      </c>
      <c r="L118" s="78">
        <v>225200000</v>
      </c>
      <c r="M118" s="207">
        <v>0.5</v>
      </c>
      <c r="N118" s="120">
        <v>122370786</v>
      </c>
      <c r="O118" s="120">
        <v>122370786</v>
      </c>
      <c r="P118" s="70">
        <f t="shared" si="70"/>
        <v>0</v>
      </c>
      <c r="Q118" s="59">
        <f>IFERROR((O118/N118),0)</f>
        <v>1</v>
      </c>
      <c r="R118" s="55" t="str">
        <f t="shared" si="104"/>
        <v>Nivel del indicador que satisface y supera las expectativas</v>
      </c>
      <c r="S118" s="220">
        <v>225200000</v>
      </c>
      <c r="T118" s="215">
        <v>0.75</v>
      </c>
      <c r="U118" s="248">
        <v>177112364</v>
      </c>
      <c r="V118" s="248">
        <v>177112364</v>
      </c>
      <c r="W118" s="248">
        <f>U118-V118</f>
        <v>0</v>
      </c>
      <c r="X118" s="59">
        <f t="shared" si="82"/>
        <v>1</v>
      </c>
      <c r="Y118" s="249" t="str">
        <f t="shared" si="83"/>
        <v>Nivel del indicador que satisface y supera las expectativas</v>
      </c>
      <c r="Z118" s="70"/>
      <c r="AA118" s="70"/>
      <c r="AB118" s="70">
        <f t="shared" si="97"/>
        <v>0</v>
      </c>
      <c r="AC118" s="59" t="str">
        <f t="shared" si="98"/>
        <v/>
      </c>
      <c r="AD118" s="55" t="str">
        <f t="shared" si="99"/>
        <v/>
      </c>
      <c r="AH118" s="79">
        <f t="shared" si="100"/>
        <v>0.40772322624434387</v>
      </c>
      <c r="AI118" s="79">
        <f t="shared" si="101"/>
        <v>0.54338714920071052</v>
      </c>
      <c r="AJ118" s="79">
        <f t="shared" si="102"/>
        <v>0.78646698046181174</v>
      </c>
      <c r="AK118" s="79">
        <f t="shared" si="103"/>
        <v>0</v>
      </c>
    </row>
    <row r="119" spans="1:37" ht="21" customHeight="1" x14ac:dyDescent="0.25"/>
    <row r="120" spans="1:37" ht="21.75" customHeight="1" x14ac:dyDescent="0.25">
      <c r="E120" s="191">
        <f>SUM(E3:E119)</f>
        <v>31978866644</v>
      </c>
      <c r="F120" s="191"/>
      <c r="G120" s="191"/>
      <c r="H120" s="191">
        <f>SUM(H3:H119)</f>
        <v>7308012463.2000008</v>
      </c>
      <c r="J120" s="80">
        <f>+H120/E120</f>
        <v>0.22852631222223627</v>
      </c>
      <c r="L120" s="191">
        <f>SUM(L3:L119)</f>
        <v>32826263616</v>
      </c>
      <c r="M120" s="191"/>
      <c r="N120" s="191"/>
      <c r="O120" s="191">
        <f>SUM(O3:O119)</f>
        <v>8962317213.3000011</v>
      </c>
      <c r="Q120" s="80">
        <f>+O120/L120</f>
        <v>0.27302276366694495</v>
      </c>
    </row>
    <row r="121" spans="1:37" ht="18.75" customHeight="1" x14ac:dyDescent="0.25"/>
    <row r="122" spans="1:37" ht="20.25" customHeight="1" x14ac:dyDescent="0.25"/>
    <row r="123" spans="1:37" ht="18.75" customHeight="1" x14ac:dyDescent="0.25"/>
    <row r="126" spans="1:37" x14ac:dyDescent="0.25">
      <c r="A126" s="75" t="s">
        <v>183</v>
      </c>
      <c r="B126" s="75" t="s">
        <v>295</v>
      </c>
      <c r="C126" s="75" t="s">
        <v>374</v>
      </c>
      <c r="D126" s="75" t="s">
        <v>414</v>
      </c>
      <c r="E126" s="75" t="s">
        <v>450</v>
      </c>
      <c r="F126" s="75"/>
      <c r="G126" s="75"/>
    </row>
    <row r="127" spans="1:37" x14ac:dyDescent="0.25">
      <c r="A127" s="75" t="s">
        <v>184</v>
      </c>
      <c r="B127" s="75" t="s">
        <v>309</v>
      </c>
      <c r="C127" s="75" t="s">
        <v>381</v>
      </c>
      <c r="D127" s="75" t="s">
        <v>421</v>
      </c>
      <c r="E127" s="75" t="s">
        <v>453</v>
      </c>
      <c r="F127" s="75"/>
      <c r="G127" s="75"/>
    </row>
    <row r="128" spans="1:37" x14ac:dyDescent="0.25">
      <c r="A128" s="75" t="s">
        <v>214</v>
      </c>
      <c r="B128" s="75" t="s">
        <v>324</v>
      </c>
      <c r="C128" s="75" t="s">
        <v>384</v>
      </c>
      <c r="D128" s="75" t="s">
        <v>424</v>
      </c>
      <c r="E128" s="75" t="s">
        <v>472</v>
      </c>
      <c r="F128" s="75"/>
      <c r="G128" s="75"/>
    </row>
    <row r="129" spans="1:7" x14ac:dyDescent="0.25">
      <c r="A129" s="75" t="s">
        <v>225</v>
      </c>
      <c r="B129" s="75" t="s">
        <v>333</v>
      </c>
      <c r="C129" s="75" t="s">
        <v>395</v>
      </c>
      <c r="D129" s="75" t="s">
        <v>427</v>
      </c>
      <c r="E129" s="75" t="s">
        <v>500</v>
      </c>
      <c r="F129" s="75"/>
      <c r="G129" s="75"/>
    </row>
    <row r="130" spans="1:7" x14ac:dyDescent="0.25">
      <c r="A130" s="75" t="s">
        <v>235</v>
      </c>
      <c r="B130" s="75" t="s">
        <v>336</v>
      </c>
      <c r="C130" s="75" t="s">
        <v>399</v>
      </c>
      <c r="D130" s="75" t="s">
        <v>432</v>
      </c>
      <c r="E130" s="75" t="s">
        <v>483</v>
      </c>
      <c r="F130" s="75"/>
      <c r="G130" s="75"/>
    </row>
    <row r="131" spans="1:7" x14ac:dyDescent="0.25">
      <c r="A131" s="75" t="s">
        <v>237</v>
      </c>
      <c r="B131" s="75" t="s">
        <v>341</v>
      </c>
      <c r="C131" s="75" t="s">
        <v>401</v>
      </c>
      <c r="D131" s="75" t="s">
        <v>437</v>
      </c>
      <c r="E131" s="75" t="s">
        <v>501</v>
      </c>
      <c r="F131" s="75"/>
      <c r="G131" s="75"/>
    </row>
    <row r="132" spans="1:7" x14ac:dyDescent="0.25">
      <c r="A132" s="75" t="s">
        <v>241</v>
      </c>
      <c r="B132" s="75" t="s">
        <v>346</v>
      </c>
      <c r="C132" s="75" t="s">
        <v>403</v>
      </c>
      <c r="D132" s="75" t="s">
        <v>440</v>
      </c>
      <c r="E132" s="75" t="s">
        <v>486</v>
      </c>
      <c r="F132" s="75"/>
      <c r="G132" s="75"/>
    </row>
    <row r="133" spans="1:7" x14ac:dyDescent="0.25">
      <c r="B133" s="75" t="s">
        <v>349</v>
      </c>
      <c r="C133" s="75" t="s">
        <v>405</v>
      </c>
    </row>
    <row r="134" spans="1:7" x14ac:dyDescent="0.25">
      <c r="B134" s="75" t="s">
        <v>356</v>
      </c>
    </row>
  </sheetData>
  <sheetProtection selectLockedCells="1" selectUnlockedCells="1"/>
  <customSheetViews>
    <customSheetView guid="{FC774746-3857-4381-B35D-AC071296263D}" scale="85" showPageBreaks="1" hiddenRows="1" topLeftCell="E107">
      <selection activeCell="K115" sqref="K115"/>
      <pageMargins left="0.7" right="0.7" top="0.75" bottom="0.75" header="0.3" footer="0.3"/>
      <pageSetup paperSize="9" orientation="portrait" r:id="rId1"/>
    </customSheetView>
  </customSheetViews>
  <mergeCells count="12">
    <mergeCell ref="S1:Y1"/>
    <mergeCell ref="Z1:AD1"/>
    <mergeCell ref="J2:K2"/>
    <mergeCell ref="Q2:R2"/>
    <mergeCell ref="X2:Y2"/>
    <mergeCell ref="AC2:AD2"/>
    <mergeCell ref="L1:R1"/>
    <mergeCell ref="A1:A2"/>
    <mergeCell ref="B1:B2"/>
    <mergeCell ref="C1:C2"/>
    <mergeCell ref="D1:D2"/>
    <mergeCell ref="E1:K1"/>
  </mergeCells>
  <conditionalFormatting sqref="K3:K33">
    <cfRule type="cellIs" dxfId="499" priority="288" operator="equal">
      <formula>"Nivel del indicador que satisface y supera las expectativas"</formula>
    </cfRule>
    <cfRule type="cellIs" dxfId="498" priority="289" operator="equal">
      <formula>"Nivel del indicador que cumple las expectativas"</formula>
    </cfRule>
    <cfRule type="cellIs" dxfId="497" priority="290" operator="equal">
      <formula>"Nivel aceptable del indicador"</formula>
    </cfRule>
    <cfRule type="cellIs" dxfId="496" priority="291" operator="equal">
      <formula>"Se ha avanzado muy poco o nada en este indicador"</formula>
    </cfRule>
  </conditionalFormatting>
  <conditionalFormatting sqref="R3:R33">
    <cfRule type="cellIs" dxfId="495" priority="279" operator="equal">
      <formula>"Nivel del indicador que satisface y supera las expectativas"</formula>
    </cfRule>
    <cfRule type="cellIs" dxfId="494" priority="280" operator="equal">
      <formula>"Nivel del indicador que cumple las expectativas"</formula>
    </cfRule>
    <cfRule type="cellIs" dxfId="493" priority="281" operator="equal">
      <formula>"Nivel aceptable del indicador"</formula>
    </cfRule>
    <cfRule type="cellIs" dxfId="492" priority="282" operator="equal">
      <formula>"Se ha avanzado muy poco o nada en este indicador"</formula>
    </cfRule>
  </conditionalFormatting>
  <conditionalFormatting sqref="AC3:AC33">
    <cfRule type="cellIs" dxfId="491" priority="265" operator="equal">
      <formula>""</formula>
    </cfRule>
    <cfRule type="cellIs" dxfId="490" priority="266" operator="greaterThanOrEqual">
      <formula>99%</formula>
    </cfRule>
    <cfRule type="cellIs" dxfId="489" priority="267" operator="between">
      <formula>76%</formula>
      <formula>98.99%</formula>
    </cfRule>
    <cfRule type="cellIs" dxfId="488" priority="268" operator="between">
      <formula>34%</formula>
      <formula>75.99%</formula>
    </cfRule>
    <cfRule type="cellIs" dxfId="487" priority="269" operator="lessThanOrEqual">
      <formula>33.99%</formula>
    </cfRule>
  </conditionalFormatting>
  <conditionalFormatting sqref="AD3:AD33">
    <cfRule type="cellIs" dxfId="486" priority="261" operator="equal">
      <formula>"Nivel del indicador que satisface y supera las expectativas"</formula>
    </cfRule>
    <cfRule type="cellIs" dxfId="485" priority="262" operator="equal">
      <formula>"Nivel del indicador que cumple las expectativas"</formula>
    </cfRule>
    <cfRule type="cellIs" dxfId="484" priority="263" operator="equal">
      <formula>"Nivel aceptable del indicador"</formula>
    </cfRule>
    <cfRule type="cellIs" dxfId="483" priority="264" operator="equal">
      <formula>"Se ha avanzado muy poco o nada en este indicador"</formula>
    </cfRule>
  </conditionalFormatting>
  <conditionalFormatting sqref="R3:R33">
    <cfRule type="cellIs" dxfId="482" priority="260" operator="equal">
      <formula>"¡¡Ojo No Se Ejecuto Presupuesto!!"</formula>
    </cfRule>
  </conditionalFormatting>
  <conditionalFormatting sqref="K3:K33">
    <cfRule type="cellIs" dxfId="481" priority="259" operator="equal">
      <formula>"¡¡Ojo No se Ejecuto Presupuesto!!"</formula>
    </cfRule>
  </conditionalFormatting>
  <conditionalFormatting sqref="AD3:AD33">
    <cfRule type="cellIs" dxfId="480" priority="257" operator="equal">
      <formula>"¡¡Ojo No se Ejecuto Presupuesto!!"</formula>
    </cfRule>
  </conditionalFormatting>
  <conditionalFormatting sqref="K34:K68">
    <cfRule type="cellIs" dxfId="479" priority="247" operator="equal">
      <formula>"Nivel del indicador que satisface y supera las expectativas"</formula>
    </cfRule>
    <cfRule type="cellIs" dxfId="478" priority="248" operator="equal">
      <formula>"Nivel del indicador que cumple las expectativas"</formula>
    </cfRule>
    <cfRule type="cellIs" dxfId="477" priority="249" operator="equal">
      <formula>"Nivel aceptable del indicador"</formula>
    </cfRule>
    <cfRule type="cellIs" dxfId="476" priority="250" operator="equal">
      <formula>"Se ha avanzado muy poco o nada en este indicador"</formula>
    </cfRule>
  </conditionalFormatting>
  <conditionalFormatting sqref="R34:R71">
    <cfRule type="cellIs" dxfId="475" priority="239" operator="equal">
      <formula>"Nivel del indicador que satisface y supera las expectativas"</formula>
    </cfRule>
    <cfRule type="cellIs" dxfId="474" priority="240" operator="equal">
      <formula>"Nivel del indicador que cumple las expectativas"</formula>
    </cfRule>
    <cfRule type="cellIs" dxfId="473" priority="241" operator="equal">
      <formula>"Nivel aceptable del indicador"</formula>
    </cfRule>
    <cfRule type="cellIs" dxfId="472" priority="242" operator="equal">
      <formula>"Se ha avanzado muy poco o nada en este indicador"</formula>
    </cfRule>
  </conditionalFormatting>
  <conditionalFormatting sqref="AC34:AC68">
    <cfRule type="cellIs" dxfId="471" priority="225" operator="equal">
      <formula>""</formula>
    </cfRule>
    <cfRule type="cellIs" dxfId="470" priority="226" operator="greaterThanOrEqual">
      <formula>99%</formula>
    </cfRule>
    <cfRule type="cellIs" dxfId="469" priority="227" operator="between">
      <formula>76%</formula>
      <formula>98.99%</formula>
    </cfRule>
    <cfRule type="cellIs" dxfId="468" priority="228" operator="between">
      <formula>34%</formula>
      <formula>75.99%</formula>
    </cfRule>
    <cfRule type="cellIs" dxfId="467" priority="229" operator="lessThanOrEqual">
      <formula>33.99%</formula>
    </cfRule>
  </conditionalFormatting>
  <conditionalFormatting sqref="AD34:AD68">
    <cfRule type="cellIs" dxfId="466" priority="221" operator="equal">
      <formula>"Nivel del indicador que satisface y supera las expectativas"</formula>
    </cfRule>
    <cfRule type="cellIs" dxfId="465" priority="222" operator="equal">
      <formula>"Nivel del indicador que cumple las expectativas"</formula>
    </cfRule>
    <cfRule type="cellIs" dxfId="464" priority="223" operator="equal">
      <formula>"Nivel aceptable del indicador"</formula>
    </cfRule>
    <cfRule type="cellIs" dxfId="463" priority="224" operator="equal">
      <formula>"Se ha avanzado muy poco o nada en este indicador"</formula>
    </cfRule>
  </conditionalFormatting>
  <conditionalFormatting sqref="R34:R71">
    <cfRule type="cellIs" dxfId="462" priority="220" operator="equal">
      <formula>"¡¡Ojo No Se Ejecuto Presupuesto!!"</formula>
    </cfRule>
  </conditionalFormatting>
  <conditionalFormatting sqref="K34:K68">
    <cfRule type="cellIs" dxfId="461" priority="219" operator="equal">
      <formula>"¡¡Ojo No se Ejecuto Presupuesto!!"</formula>
    </cfRule>
  </conditionalFormatting>
  <conditionalFormatting sqref="AD34:AD68">
    <cfRule type="cellIs" dxfId="460" priority="217" operator="equal">
      <formula>"¡¡Ojo No se Ejecuto Presupuesto!!"</formula>
    </cfRule>
  </conditionalFormatting>
  <conditionalFormatting sqref="K69:K92">
    <cfRule type="cellIs" dxfId="459" priority="207" operator="equal">
      <formula>"Nivel del indicador que satisface y supera las expectativas"</formula>
    </cfRule>
    <cfRule type="cellIs" dxfId="458" priority="208" operator="equal">
      <formula>"Nivel del indicador que cumple las expectativas"</formula>
    </cfRule>
    <cfRule type="cellIs" dxfId="457" priority="209" operator="equal">
      <formula>"Nivel aceptable del indicador"</formula>
    </cfRule>
    <cfRule type="cellIs" dxfId="456" priority="210" operator="equal">
      <formula>"Se ha avanzado muy poco o nada en este indicador"</formula>
    </cfRule>
  </conditionalFormatting>
  <conditionalFormatting sqref="R72:R87">
    <cfRule type="cellIs" dxfId="455" priority="199" operator="equal">
      <formula>"Nivel del indicador que satisface y supera las expectativas"</formula>
    </cfRule>
    <cfRule type="cellIs" dxfId="454" priority="200" operator="equal">
      <formula>"Nivel del indicador que cumple las expectativas"</formula>
    </cfRule>
    <cfRule type="cellIs" dxfId="453" priority="201" operator="equal">
      <formula>"Nivel aceptable del indicador"</formula>
    </cfRule>
    <cfRule type="cellIs" dxfId="452" priority="202" operator="equal">
      <formula>"Se ha avanzado muy poco o nada en este indicador"</formula>
    </cfRule>
  </conditionalFormatting>
  <conditionalFormatting sqref="AC69:AC87">
    <cfRule type="cellIs" dxfId="451" priority="185" operator="equal">
      <formula>""</formula>
    </cfRule>
    <cfRule type="cellIs" dxfId="450" priority="186" operator="greaterThanOrEqual">
      <formula>99%</formula>
    </cfRule>
    <cfRule type="cellIs" dxfId="449" priority="187" operator="between">
      <formula>76%</formula>
      <formula>98.99%</formula>
    </cfRule>
    <cfRule type="cellIs" dxfId="448" priority="188" operator="between">
      <formula>34%</formula>
      <formula>75.99%</formula>
    </cfRule>
    <cfRule type="cellIs" dxfId="447" priority="189" operator="lessThanOrEqual">
      <formula>33.99%</formula>
    </cfRule>
  </conditionalFormatting>
  <conditionalFormatting sqref="AD69:AD87">
    <cfRule type="cellIs" dxfId="446" priority="181" operator="equal">
      <formula>"Nivel del indicador que satisface y supera las expectativas"</formula>
    </cfRule>
    <cfRule type="cellIs" dxfId="445" priority="182" operator="equal">
      <formula>"Nivel del indicador que cumple las expectativas"</formula>
    </cfRule>
    <cfRule type="cellIs" dxfId="444" priority="183" operator="equal">
      <formula>"Nivel aceptable del indicador"</formula>
    </cfRule>
    <cfRule type="cellIs" dxfId="443" priority="184" operator="equal">
      <formula>"Se ha avanzado muy poco o nada en este indicador"</formula>
    </cfRule>
  </conditionalFormatting>
  <conditionalFormatting sqref="R72:R87">
    <cfRule type="cellIs" dxfId="442" priority="180" operator="equal">
      <formula>"¡¡Ojo No Se Ejecuto Presupuesto!!"</formula>
    </cfRule>
  </conditionalFormatting>
  <conditionalFormatting sqref="K69:K92">
    <cfRule type="cellIs" dxfId="441" priority="179" operator="equal">
      <formula>"¡¡Ojo No se Ejecuto Presupuesto!!"</formula>
    </cfRule>
  </conditionalFormatting>
  <conditionalFormatting sqref="AD69:AD87">
    <cfRule type="cellIs" dxfId="440" priority="177" operator="equal">
      <formula>"¡¡Ojo No se Ejecuto Presupuesto!!"</formula>
    </cfRule>
  </conditionalFormatting>
  <conditionalFormatting sqref="K93:K102">
    <cfRule type="cellIs" dxfId="439" priority="167" operator="equal">
      <formula>"Nivel del indicador que satisface y supera las expectativas"</formula>
    </cfRule>
    <cfRule type="cellIs" dxfId="438" priority="168" operator="equal">
      <formula>"Nivel del indicador que cumple las expectativas"</formula>
    </cfRule>
    <cfRule type="cellIs" dxfId="437" priority="169" operator="equal">
      <formula>"Nivel aceptable del indicador"</formula>
    </cfRule>
    <cfRule type="cellIs" dxfId="436" priority="170" operator="equal">
      <formula>"Se ha avanzado muy poco o nada en este indicador"</formula>
    </cfRule>
  </conditionalFormatting>
  <conditionalFormatting sqref="R88:R102">
    <cfRule type="cellIs" dxfId="435" priority="159" operator="equal">
      <formula>"Nivel del indicador que satisface y supera las expectativas"</formula>
    </cfRule>
    <cfRule type="cellIs" dxfId="434" priority="160" operator="equal">
      <formula>"Nivel del indicador que cumple las expectativas"</formula>
    </cfRule>
    <cfRule type="cellIs" dxfId="433" priority="161" operator="equal">
      <formula>"Nivel aceptable del indicador"</formula>
    </cfRule>
    <cfRule type="cellIs" dxfId="432" priority="162" operator="equal">
      <formula>"Se ha avanzado muy poco o nada en este indicador"</formula>
    </cfRule>
  </conditionalFormatting>
  <conditionalFormatting sqref="AC88:AC100">
    <cfRule type="cellIs" dxfId="431" priority="145" operator="equal">
      <formula>""</formula>
    </cfRule>
    <cfRule type="cellIs" dxfId="430" priority="146" operator="greaterThanOrEqual">
      <formula>99%</formula>
    </cfRule>
    <cfRule type="cellIs" dxfId="429" priority="147" operator="between">
      <formula>76%</formula>
      <formula>98.99%</formula>
    </cfRule>
    <cfRule type="cellIs" dxfId="428" priority="148" operator="between">
      <formula>34%</formula>
      <formula>75.99%</formula>
    </cfRule>
    <cfRule type="cellIs" dxfId="427" priority="149" operator="lessThanOrEqual">
      <formula>33.99%</formula>
    </cfRule>
  </conditionalFormatting>
  <conditionalFormatting sqref="AD88:AD100">
    <cfRule type="cellIs" dxfId="426" priority="141" operator="equal">
      <formula>"Nivel del indicador que satisface y supera las expectativas"</formula>
    </cfRule>
    <cfRule type="cellIs" dxfId="425" priority="142" operator="equal">
      <formula>"Nivel del indicador que cumple las expectativas"</formula>
    </cfRule>
    <cfRule type="cellIs" dxfId="424" priority="143" operator="equal">
      <formula>"Nivel aceptable del indicador"</formula>
    </cfRule>
    <cfRule type="cellIs" dxfId="423" priority="144" operator="equal">
      <formula>"Se ha avanzado muy poco o nada en este indicador"</formula>
    </cfRule>
  </conditionalFormatting>
  <conditionalFormatting sqref="R88:R102">
    <cfRule type="cellIs" dxfId="422" priority="140" operator="equal">
      <formula>"¡¡Ojo No Se Ejecuto Presupuesto!!"</formula>
    </cfRule>
  </conditionalFormatting>
  <conditionalFormatting sqref="K93:K102">
    <cfRule type="cellIs" dxfId="421" priority="139" operator="equal">
      <formula>"¡¡Ojo No se Ejecuto Presupuesto!!"</formula>
    </cfRule>
  </conditionalFormatting>
  <conditionalFormatting sqref="AD88:AD100">
    <cfRule type="cellIs" dxfId="420" priority="137" operator="equal">
      <formula>"¡¡Ojo No se Ejecuto Presupuesto!!"</formula>
    </cfRule>
  </conditionalFormatting>
  <conditionalFormatting sqref="K103:K118">
    <cfRule type="cellIs" dxfId="419" priority="127" operator="equal">
      <formula>"Nivel del indicador que satisface y supera las expectativas"</formula>
    </cfRule>
    <cfRule type="cellIs" dxfId="418" priority="128" operator="equal">
      <formula>"Nivel del indicador que cumple las expectativas"</formula>
    </cfRule>
    <cfRule type="cellIs" dxfId="417" priority="129" operator="equal">
      <formula>"Nivel aceptable del indicador"</formula>
    </cfRule>
    <cfRule type="cellIs" dxfId="416" priority="130" operator="equal">
      <formula>"Se ha avanzado muy poco o nada en este indicador"</formula>
    </cfRule>
  </conditionalFormatting>
  <conditionalFormatting sqref="R103:R118">
    <cfRule type="cellIs" dxfId="415" priority="119" operator="equal">
      <formula>"Nivel del indicador que satisface y supera las expectativas"</formula>
    </cfRule>
    <cfRule type="cellIs" dxfId="414" priority="120" operator="equal">
      <formula>"Nivel del indicador que cumple las expectativas"</formula>
    </cfRule>
    <cfRule type="cellIs" dxfId="413" priority="121" operator="equal">
      <formula>"Nivel aceptable del indicador"</formula>
    </cfRule>
    <cfRule type="cellIs" dxfId="412" priority="122" operator="equal">
      <formula>"Se ha avanzado muy poco o nada en este indicador"</formula>
    </cfRule>
  </conditionalFormatting>
  <conditionalFormatting sqref="AC101:AC118">
    <cfRule type="cellIs" dxfId="411" priority="105" operator="equal">
      <formula>""</formula>
    </cfRule>
    <cfRule type="cellIs" dxfId="410" priority="106" operator="greaterThanOrEqual">
      <formula>99%</formula>
    </cfRule>
    <cfRule type="cellIs" dxfId="409" priority="107" operator="between">
      <formula>76%</formula>
      <formula>98.99%</formula>
    </cfRule>
    <cfRule type="cellIs" dxfId="408" priority="108" operator="between">
      <formula>34%</formula>
      <formula>75.99%</formula>
    </cfRule>
    <cfRule type="cellIs" dxfId="407" priority="109" operator="lessThanOrEqual">
      <formula>33.99%</formula>
    </cfRule>
  </conditionalFormatting>
  <conditionalFormatting sqref="AD101:AD118">
    <cfRule type="cellIs" dxfId="406" priority="101" operator="equal">
      <formula>"Nivel del indicador que satisface y supera las expectativas"</formula>
    </cfRule>
    <cfRule type="cellIs" dxfId="405" priority="102" operator="equal">
      <formula>"Nivel del indicador que cumple las expectativas"</formula>
    </cfRule>
    <cfRule type="cellIs" dxfId="404" priority="103" operator="equal">
      <formula>"Nivel aceptable del indicador"</formula>
    </cfRule>
    <cfRule type="cellIs" dxfId="403" priority="104" operator="equal">
      <formula>"Se ha avanzado muy poco o nada en este indicador"</formula>
    </cfRule>
  </conditionalFormatting>
  <conditionalFormatting sqref="R103:R118">
    <cfRule type="cellIs" dxfId="402" priority="100" operator="equal">
      <formula>"¡¡Ojo No Se Ejecuto Presupuesto!!"</formula>
    </cfRule>
  </conditionalFormatting>
  <conditionalFormatting sqref="K103:K118">
    <cfRule type="cellIs" dxfId="401" priority="99" operator="equal">
      <formula>"¡¡Ojo No se Ejecuto Presupuesto!!"</formula>
    </cfRule>
  </conditionalFormatting>
  <conditionalFormatting sqref="AD101:AD118">
    <cfRule type="cellIs" dxfId="400" priority="97" operator="equal">
      <formula>"¡¡Ojo No se Ejecuto Presupuesto!!"</formula>
    </cfRule>
  </conditionalFormatting>
  <conditionalFormatting sqref="J3:J118">
    <cfRule type="cellIs" dxfId="399" priority="81" operator="equal">
      <formula>0%</formula>
    </cfRule>
    <cfRule type="cellIs" dxfId="398" priority="82" operator="greaterThanOrEqual">
      <formula>25%</formula>
    </cfRule>
    <cfRule type="cellIs" dxfId="397" priority="83" operator="between">
      <formula>20%</formula>
      <formula>24.99%</formula>
    </cfRule>
    <cfRule type="cellIs" dxfId="396" priority="84" operator="between">
      <formula>9%</formula>
      <formula>19.99%</formula>
    </cfRule>
    <cfRule type="cellIs" dxfId="395" priority="85" operator="lessThanOrEqual">
      <formula>8.99%</formula>
    </cfRule>
  </conditionalFormatting>
  <conditionalFormatting sqref="Q3:Q118">
    <cfRule type="cellIs" dxfId="394" priority="77" operator="greaterThanOrEqual">
      <formula>50%</formula>
    </cfRule>
    <cfRule type="cellIs" dxfId="393" priority="78" operator="between">
      <formula>37%</formula>
      <formula>49.99%</formula>
    </cfRule>
    <cfRule type="cellIs" dxfId="392" priority="79" operator="between">
      <formula>16%</formula>
      <formula>36.99%</formula>
    </cfRule>
    <cfRule type="cellIs" dxfId="391" priority="80" operator="lessThanOrEqual">
      <formula>15.99%</formula>
    </cfRule>
  </conditionalFormatting>
  <conditionalFormatting sqref="Q3:Q118">
    <cfRule type="cellIs" dxfId="390" priority="76" operator="equal">
      <formula>0</formula>
    </cfRule>
  </conditionalFormatting>
  <conditionalFormatting sqref="Y3:Y118">
    <cfRule type="cellIs" dxfId="389" priority="37" operator="equal">
      <formula>"Nivel del indicador que satisface y supera las expectativas"</formula>
    </cfRule>
    <cfRule type="cellIs" dxfId="388" priority="38" operator="equal">
      <formula>"Nivel del indicador que cumple las expectativas"</formula>
    </cfRule>
    <cfRule type="cellIs" dxfId="387" priority="39" operator="equal">
      <formula>"Nivel aceptable del indicador"</formula>
    </cfRule>
    <cfRule type="cellIs" dxfId="386" priority="40" operator="equal">
      <formula>"Se ha avanzado muy poco o nada en este indicador"</formula>
    </cfRule>
  </conditionalFormatting>
  <conditionalFormatting sqref="Y3:Y118">
    <cfRule type="cellIs" dxfId="385" priority="36" operator="equal">
      <formula>"¡¡Ojo No Se Ejecuto Presupuesto!!"</formula>
    </cfRule>
  </conditionalFormatting>
  <conditionalFormatting sqref="X3:X118">
    <cfRule type="cellIs" dxfId="384" priority="12" operator="greaterThanOrEqual">
      <formula>100%</formula>
    </cfRule>
    <cfRule type="cellIs" dxfId="383" priority="13" operator="between">
      <formula>75%</formula>
      <formula>99.99%</formula>
    </cfRule>
    <cfRule type="cellIs" dxfId="382" priority="14" operator="between">
      <formula>33%</formula>
      <formula>74.99%</formula>
    </cfRule>
    <cfRule type="cellIs" dxfId="381" priority="15" operator="lessThanOrEqual">
      <formula>32.99%</formula>
    </cfRule>
  </conditionalFormatting>
  <conditionalFormatting sqref="X3:X118">
    <cfRule type="cellIs" dxfId="380" priority="11" operator="equal">
      <formula>0</formula>
    </cfRule>
  </conditionalFormatting>
  <pageMargins left="0.7" right="0.7" top="0.75" bottom="0.75" header="0.3" footer="0.3"/>
  <pageSetup paperSize="9" orientation="portrait"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G145"/>
  <sheetViews>
    <sheetView zoomScale="55" zoomScaleNormal="55" workbookViewId="0">
      <selection activeCell="G132" sqref="G132"/>
    </sheetView>
  </sheetViews>
  <sheetFormatPr baseColWidth="10" defaultRowHeight="15" x14ac:dyDescent="0.25"/>
  <cols>
    <col min="1" max="1" width="3.7109375" customWidth="1"/>
    <col min="2" max="2" width="11.140625" customWidth="1"/>
    <col min="3" max="3" width="11.42578125" customWidth="1"/>
    <col min="4" max="4" width="32.42578125" customWidth="1"/>
    <col min="5" max="5" width="85.42578125" customWidth="1"/>
    <col min="6" max="6" width="97.140625" customWidth="1"/>
    <col min="7" max="7" width="72" customWidth="1"/>
  </cols>
  <sheetData>
    <row r="4" spans="2:7" x14ac:dyDescent="0.25">
      <c r="B4" s="260" t="s">
        <v>627</v>
      </c>
      <c r="C4" s="263" t="s">
        <v>212</v>
      </c>
      <c r="D4" s="263" t="s">
        <v>211</v>
      </c>
      <c r="E4" s="263" t="s">
        <v>743</v>
      </c>
      <c r="F4" s="263" t="s">
        <v>744</v>
      </c>
      <c r="G4" s="263" t="s">
        <v>848</v>
      </c>
    </row>
    <row r="5" spans="2:7" x14ac:dyDescent="0.25">
      <c r="B5" s="261"/>
      <c r="C5" s="264"/>
      <c r="D5" s="264"/>
      <c r="E5" s="264"/>
      <c r="F5" s="264"/>
      <c r="G5" s="264"/>
    </row>
    <row r="6" spans="2:7" ht="90" x14ac:dyDescent="0.25">
      <c r="B6" s="295" t="s">
        <v>183</v>
      </c>
      <c r="C6" s="125" t="s">
        <v>169</v>
      </c>
      <c r="D6" s="126" t="s">
        <v>172</v>
      </c>
      <c r="E6" s="127" t="s">
        <v>628</v>
      </c>
      <c r="F6" s="180" t="s">
        <v>745</v>
      </c>
      <c r="G6" s="162" t="s">
        <v>849</v>
      </c>
    </row>
    <row r="7" spans="2:7" ht="90" x14ac:dyDescent="0.25">
      <c r="B7" s="296"/>
      <c r="C7" s="124" t="s">
        <v>377</v>
      </c>
      <c r="D7" s="125" t="s">
        <v>173</v>
      </c>
      <c r="E7" s="127" t="s">
        <v>629</v>
      </c>
      <c r="F7" s="180" t="s">
        <v>746</v>
      </c>
      <c r="G7" s="162" t="s">
        <v>850</v>
      </c>
    </row>
    <row r="8" spans="2:7" ht="225" x14ac:dyDescent="0.25">
      <c r="B8" s="296"/>
      <c r="C8" s="124" t="s">
        <v>379</v>
      </c>
      <c r="D8" s="125" t="s">
        <v>190</v>
      </c>
      <c r="E8" s="127" t="s">
        <v>733</v>
      </c>
      <c r="F8" s="180" t="s">
        <v>747</v>
      </c>
      <c r="G8" s="162" t="s">
        <v>851</v>
      </c>
    </row>
    <row r="9" spans="2:7" ht="165" x14ac:dyDescent="0.25">
      <c r="B9" s="296"/>
      <c r="C9" s="125" t="s">
        <v>174</v>
      </c>
      <c r="D9" s="125" t="s">
        <v>176</v>
      </c>
      <c r="E9" s="127" t="s">
        <v>630</v>
      </c>
      <c r="F9" s="180" t="s">
        <v>748</v>
      </c>
      <c r="G9" s="162" t="s">
        <v>852</v>
      </c>
    </row>
    <row r="10" spans="2:7" ht="57" customHeight="1" x14ac:dyDescent="0.25">
      <c r="B10" s="296"/>
      <c r="C10" s="159" t="s">
        <v>631</v>
      </c>
      <c r="D10" s="161" t="s">
        <v>177</v>
      </c>
      <c r="E10" s="162" t="s">
        <v>630</v>
      </c>
      <c r="F10" s="180" t="s">
        <v>748</v>
      </c>
      <c r="G10" s="162" t="s">
        <v>853</v>
      </c>
    </row>
    <row r="11" spans="2:7" ht="60" x14ac:dyDescent="0.25">
      <c r="B11" s="292" t="s">
        <v>184</v>
      </c>
      <c r="C11" s="124" t="s">
        <v>178</v>
      </c>
      <c r="D11" s="125" t="s">
        <v>185</v>
      </c>
      <c r="E11" s="127" t="s">
        <v>632</v>
      </c>
      <c r="F11" s="180" t="s">
        <v>749</v>
      </c>
      <c r="G11" s="162" t="s">
        <v>749</v>
      </c>
    </row>
    <row r="12" spans="2:7" ht="30" x14ac:dyDescent="0.25">
      <c r="B12" s="293"/>
      <c r="C12" s="128" t="s">
        <v>179</v>
      </c>
      <c r="D12" s="129" t="s">
        <v>186</v>
      </c>
      <c r="E12" s="130" t="s">
        <v>633</v>
      </c>
      <c r="F12" s="181" t="s">
        <v>633</v>
      </c>
      <c r="G12" s="130"/>
    </row>
    <row r="13" spans="2:7" x14ac:dyDescent="0.25">
      <c r="B13" s="293"/>
      <c r="C13" s="128" t="s">
        <v>180</v>
      </c>
      <c r="D13" s="129" t="s">
        <v>187</v>
      </c>
      <c r="E13" s="130" t="s">
        <v>633</v>
      </c>
      <c r="F13" s="181" t="s">
        <v>633</v>
      </c>
      <c r="G13" s="130"/>
    </row>
    <row r="14" spans="2:7" ht="30" x14ac:dyDescent="0.25">
      <c r="B14" s="293"/>
      <c r="C14" s="128" t="s">
        <v>181</v>
      </c>
      <c r="D14" s="129" t="s">
        <v>188</v>
      </c>
      <c r="E14" s="130" t="s">
        <v>633</v>
      </c>
      <c r="F14" s="181" t="s">
        <v>633</v>
      </c>
      <c r="G14" s="130"/>
    </row>
    <row r="15" spans="2:7" x14ac:dyDescent="0.25">
      <c r="B15" s="293"/>
      <c r="C15" s="128" t="s">
        <v>182</v>
      </c>
      <c r="D15" s="129" t="s">
        <v>189</v>
      </c>
      <c r="E15" s="130" t="s">
        <v>633</v>
      </c>
      <c r="F15" s="181" t="s">
        <v>633</v>
      </c>
      <c r="G15" s="130"/>
    </row>
    <row r="16" spans="2:7" ht="225" x14ac:dyDescent="0.25">
      <c r="B16" s="292" t="s">
        <v>384</v>
      </c>
      <c r="C16" s="124" t="s">
        <v>215</v>
      </c>
      <c r="D16" s="125" t="s">
        <v>220</v>
      </c>
      <c r="E16" s="127" t="s">
        <v>634</v>
      </c>
      <c r="F16" s="180" t="s">
        <v>750</v>
      </c>
      <c r="G16" s="162" t="s">
        <v>854</v>
      </c>
    </row>
    <row r="17" spans="2:7" ht="409.5" x14ac:dyDescent="0.25">
      <c r="B17" s="293"/>
      <c r="C17" s="124" t="s">
        <v>216</v>
      </c>
      <c r="D17" s="125" t="s">
        <v>221</v>
      </c>
      <c r="E17" s="127" t="s">
        <v>635</v>
      </c>
      <c r="F17" s="180" t="s">
        <v>751</v>
      </c>
      <c r="G17" s="162" t="s">
        <v>855</v>
      </c>
    </row>
    <row r="18" spans="2:7" ht="90" x14ac:dyDescent="0.25">
      <c r="B18" s="293"/>
      <c r="C18" s="124" t="s">
        <v>217</v>
      </c>
      <c r="D18" s="125" t="s">
        <v>222</v>
      </c>
      <c r="E18" s="127" t="s">
        <v>636</v>
      </c>
      <c r="F18" s="180" t="s">
        <v>752</v>
      </c>
      <c r="G18" s="162" t="s">
        <v>856</v>
      </c>
    </row>
    <row r="19" spans="2:7" ht="60" x14ac:dyDescent="0.25">
      <c r="B19" s="293"/>
      <c r="C19" s="124" t="s">
        <v>218</v>
      </c>
      <c r="D19" s="125" t="s">
        <v>223</v>
      </c>
      <c r="E19" s="127" t="s">
        <v>630</v>
      </c>
      <c r="F19" s="180" t="s">
        <v>753</v>
      </c>
      <c r="G19" s="162" t="s">
        <v>857</v>
      </c>
    </row>
    <row r="20" spans="2:7" ht="75" x14ac:dyDescent="0.25">
      <c r="B20" s="293"/>
      <c r="C20" s="124" t="s">
        <v>219</v>
      </c>
      <c r="D20" s="125" t="s">
        <v>224</v>
      </c>
      <c r="E20" s="127" t="s">
        <v>637</v>
      </c>
      <c r="F20" s="180" t="s">
        <v>754</v>
      </c>
      <c r="G20" s="162" t="s">
        <v>858</v>
      </c>
    </row>
    <row r="21" spans="2:7" ht="409.5" x14ac:dyDescent="0.25">
      <c r="B21" s="292" t="s">
        <v>225</v>
      </c>
      <c r="C21" s="124" t="s">
        <v>226</v>
      </c>
      <c r="D21" s="125" t="s">
        <v>245</v>
      </c>
      <c r="E21" s="127" t="s">
        <v>638</v>
      </c>
      <c r="F21" s="180" t="s">
        <v>755</v>
      </c>
      <c r="G21" s="162" t="s">
        <v>859</v>
      </c>
    </row>
    <row r="22" spans="2:7" ht="409.5" x14ac:dyDescent="0.25">
      <c r="B22" s="293"/>
      <c r="C22" s="124" t="s">
        <v>227</v>
      </c>
      <c r="D22" s="125" t="s">
        <v>246</v>
      </c>
      <c r="E22" s="127" t="s">
        <v>639</v>
      </c>
      <c r="F22" s="180" t="s">
        <v>756</v>
      </c>
      <c r="G22" s="162" t="s">
        <v>860</v>
      </c>
    </row>
    <row r="23" spans="2:7" ht="409.5" x14ac:dyDescent="0.25">
      <c r="B23" s="293"/>
      <c r="C23" s="124" t="s">
        <v>228</v>
      </c>
      <c r="D23" s="125" t="s">
        <v>247</v>
      </c>
      <c r="E23" s="127" t="s">
        <v>640</v>
      </c>
      <c r="F23" s="180" t="s">
        <v>757</v>
      </c>
      <c r="G23" s="162" t="s">
        <v>861</v>
      </c>
    </row>
    <row r="24" spans="2:7" ht="409.5" x14ac:dyDescent="0.25">
      <c r="B24" s="293"/>
      <c r="C24" s="124" t="s">
        <v>229</v>
      </c>
      <c r="D24" s="125" t="s">
        <v>248</v>
      </c>
      <c r="E24" s="127" t="s">
        <v>641</v>
      </c>
      <c r="F24" s="180" t="s">
        <v>758</v>
      </c>
      <c r="G24" s="162" t="s">
        <v>862</v>
      </c>
    </row>
    <row r="25" spans="2:7" ht="90" x14ac:dyDescent="0.25">
      <c r="B25" s="293"/>
      <c r="C25" s="124" t="s">
        <v>230</v>
      </c>
      <c r="D25" s="125" t="s">
        <v>249</v>
      </c>
      <c r="E25" s="106" t="s">
        <v>642</v>
      </c>
      <c r="F25" s="182" t="s">
        <v>642</v>
      </c>
      <c r="G25" s="106" t="s">
        <v>863</v>
      </c>
    </row>
    <row r="26" spans="2:7" ht="210" x14ac:dyDescent="0.25">
      <c r="B26" s="293"/>
      <c r="C26" s="124" t="s">
        <v>231</v>
      </c>
      <c r="D26" s="125" t="s">
        <v>250</v>
      </c>
      <c r="E26" s="106" t="s">
        <v>630</v>
      </c>
      <c r="F26" s="182" t="s">
        <v>630</v>
      </c>
      <c r="G26" s="106" t="s">
        <v>864</v>
      </c>
    </row>
    <row r="27" spans="2:7" ht="270" x14ac:dyDescent="0.25">
      <c r="B27" s="293"/>
      <c r="C27" s="124" t="s">
        <v>232</v>
      </c>
      <c r="D27" s="125" t="s">
        <v>251</v>
      </c>
      <c r="E27" s="106" t="s">
        <v>630</v>
      </c>
      <c r="F27" s="182" t="s">
        <v>759</v>
      </c>
      <c r="G27" s="106" t="s">
        <v>865</v>
      </c>
    </row>
    <row r="28" spans="2:7" ht="105" x14ac:dyDescent="0.25">
      <c r="B28" s="293"/>
      <c r="C28" s="124" t="s">
        <v>233</v>
      </c>
      <c r="D28" s="125" t="s">
        <v>252</v>
      </c>
      <c r="E28" s="106" t="s">
        <v>630</v>
      </c>
      <c r="F28" s="182" t="s">
        <v>630</v>
      </c>
      <c r="G28" s="106" t="s">
        <v>866</v>
      </c>
    </row>
    <row r="29" spans="2:7" ht="300" x14ac:dyDescent="0.25">
      <c r="B29" s="293"/>
      <c r="C29" s="124" t="s">
        <v>234</v>
      </c>
      <c r="D29" s="125" t="s">
        <v>253</v>
      </c>
      <c r="E29" s="106" t="s">
        <v>630</v>
      </c>
      <c r="F29" s="182" t="s">
        <v>630</v>
      </c>
      <c r="G29" s="106" t="s">
        <v>867</v>
      </c>
    </row>
    <row r="30" spans="2:7" ht="409.5" x14ac:dyDescent="0.25">
      <c r="B30" s="124" t="s">
        <v>235</v>
      </c>
      <c r="C30" s="124" t="s">
        <v>236</v>
      </c>
      <c r="D30" s="125" t="s">
        <v>254</v>
      </c>
      <c r="E30" s="127" t="s">
        <v>643</v>
      </c>
      <c r="F30" s="180" t="s">
        <v>760</v>
      </c>
      <c r="G30" s="162" t="s">
        <v>868</v>
      </c>
    </row>
    <row r="31" spans="2:7" ht="135" x14ac:dyDescent="0.25">
      <c r="B31" s="292" t="s">
        <v>237</v>
      </c>
      <c r="C31" s="124" t="s">
        <v>238</v>
      </c>
      <c r="D31" s="125" t="s">
        <v>255</v>
      </c>
      <c r="E31" s="106" t="s">
        <v>630</v>
      </c>
      <c r="F31" s="182" t="s">
        <v>630</v>
      </c>
      <c r="G31" s="106" t="s">
        <v>869</v>
      </c>
    </row>
    <row r="32" spans="2:7" ht="60" x14ac:dyDescent="0.25">
      <c r="B32" s="293"/>
      <c r="C32" s="124" t="s">
        <v>239</v>
      </c>
      <c r="D32" s="125" t="s">
        <v>256</v>
      </c>
      <c r="E32" s="106" t="s">
        <v>630</v>
      </c>
      <c r="F32" s="182" t="s">
        <v>630</v>
      </c>
      <c r="G32" s="106" t="s">
        <v>870</v>
      </c>
    </row>
    <row r="33" spans="2:7" ht="409.5" x14ac:dyDescent="0.25">
      <c r="B33" s="293"/>
      <c r="C33" s="124" t="s">
        <v>240</v>
      </c>
      <c r="D33" s="125" t="s">
        <v>257</v>
      </c>
      <c r="E33" s="127" t="s">
        <v>644</v>
      </c>
      <c r="F33" s="180" t="s">
        <v>761</v>
      </c>
      <c r="G33" s="162" t="s">
        <v>871</v>
      </c>
    </row>
    <row r="34" spans="2:7" ht="90" x14ac:dyDescent="0.25">
      <c r="B34" s="299" t="s">
        <v>241</v>
      </c>
      <c r="C34" s="57" t="s">
        <v>242</v>
      </c>
      <c r="D34" s="58" t="s">
        <v>258</v>
      </c>
      <c r="E34" s="106" t="s">
        <v>645</v>
      </c>
      <c r="F34" s="182" t="s">
        <v>762</v>
      </c>
      <c r="G34" s="106" t="s">
        <v>872</v>
      </c>
    </row>
    <row r="35" spans="2:7" ht="225" x14ac:dyDescent="0.25">
      <c r="B35" s="299"/>
      <c r="C35" s="57" t="s">
        <v>243</v>
      </c>
      <c r="D35" s="58" t="s">
        <v>259</v>
      </c>
      <c r="E35" s="106" t="s">
        <v>646</v>
      </c>
      <c r="F35" s="182" t="s">
        <v>763</v>
      </c>
      <c r="G35" s="106" t="s">
        <v>873</v>
      </c>
    </row>
    <row r="36" spans="2:7" ht="60" x14ac:dyDescent="0.25">
      <c r="B36" s="299"/>
      <c r="C36" s="57" t="s">
        <v>244</v>
      </c>
      <c r="D36" s="58" t="s">
        <v>260</v>
      </c>
      <c r="E36" s="106" t="s">
        <v>647</v>
      </c>
      <c r="F36" s="182" t="s">
        <v>647</v>
      </c>
      <c r="G36" s="106" t="s">
        <v>874</v>
      </c>
    </row>
    <row r="38" spans="2:7" x14ac:dyDescent="0.25">
      <c r="B38" s="260" t="s">
        <v>627</v>
      </c>
      <c r="C38" s="263" t="s">
        <v>212</v>
      </c>
      <c r="D38" s="263" t="s">
        <v>211</v>
      </c>
      <c r="E38" s="263" t="s">
        <v>743</v>
      </c>
      <c r="F38" s="263" t="s">
        <v>744</v>
      </c>
      <c r="G38" s="263" t="s">
        <v>848</v>
      </c>
    </row>
    <row r="39" spans="2:7" x14ac:dyDescent="0.25">
      <c r="B39" s="261"/>
      <c r="C39" s="264"/>
      <c r="D39" s="264"/>
      <c r="E39" s="264"/>
      <c r="F39" s="264"/>
      <c r="G39" s="264"/>
    </row>
    <row r="40" spans="2:7" ht="78" customHeight="1" x14ac:dyDescent="0.25">
      <c r="B40" s="163" t="s">
        <v>295</v>
      </c>
      <c r="C40" s="163" t="s">
        <v>296</v>
      </c>
      <c r="D40" s="164" t="s">
        <v>297</v>
      </c>
      <c r="E40" s="165" t="s">
        <v>648</v>
      </c>
      <c r="F40" s="162" t="s">
        <v>764</v>
      </c>
      <c r="G40" s="162" t="s">
        <v>875</v>
      </c>
    </row>
    <row r="41" spans="2:7" ht="108" customHeight="1" x14ac:dyDescent="0.25">
      <c r="B41" s="163" t="s">
        <v>295</v>
      </c>
      <c r="C41" s="163" t="s">
        <v>298</v>
      </c>
      <c r="D41" s="164" t="s">
        <v>299</v>
      </c>
      <c r="E41" s="165" t="s">
        <v>649</v>
      </c>
      <c r="F41" s="162" t="s">
        <v>765</v>
      </c>
      <c r="G41" s="162" t="s">
        <v>765</v>
      </c>
    </row>
    <row r="42" spans="2:7" ht="78" customHeight="1" x14ac:dyDescent="0.25">
      <c r="B42" s="163" t="s">
        <v>295</v>
      </c>
      <c r="C42" s="163" t="s">
        <v>300</v>
      </c>
      <c r="D42" s="164" t="s">
        <v>301</v>
      </c>
      <c r="E42" s="165" t="s">
        <v>650</v>
      </c>
      <c r="F42" s="162" t="s">
        <v>766</v>
      </c>
      <c r="G42" s="162" t="s">
        <v>876</v>
      </c>
    </row>
    <row r="43" spans="2:7" ht="78" customHeight="1" x14ac:dyDescent="0.25">
      <c r="B43" s="163" t="s">
        <v>295</v>
      </c>
      <c r="C43" s="163" t="s">
        <v>302</v>
      </c>
      <c r="D43" s="164" t="s">
        <v>303</v>
      </c>
      <c r="E43" s="165" t="s">
        <v>734</v>
      </c>
      <c r="F43" s="162" t="s">
        <v>767</v>
      </c>
      <c r="G43" s="162" t="s">
        <v>877</v>
      </c>
    </row>
    <row r="44" spans="2:7" ht="78" customHeight="1" x14ac:dyDescent="0.25">
      <c r="B44" s="163" t="s">
        <v>295</v>
      </c>
      <c r="C44" s="163" t="s">
        <v>304</v>
      </c>
      <c r="D44" s="164" t="s">
        <v>651</v>
      </c>
      <c r="E44" s="165" t="s">
        <v>652</v>
      </c>
      <c r="F44" s="162" t="s">
        <v>768</v>
      </c>
      <c r="G44" s="162" t="s">
        <v>878</v>
      </c>
    </row>
    <row r="45" spans="2:7" ht="46.5" customHeight="1" x14ac:dyDescent="0.25">
      <c r="B45" s="163" t="s">
        <v>295</v>
      </c>
      <c r="C45" s="163" t="s">
        <v>305</v>
      </c>
      <c r="D45" s="164" t="s">
        <v>306</v>
      </c>
      <c r="E45" s="165" t="s">
        <v>653</v>
      </c>
      <c r="F45" s="162" t="s">
        <v>769</v>
      </c>
      <c r="G45" s="162" t="s">
        <v>879</v>
      </c>
    </row>
    <row r="46" spans="2:7" ht="78" customHeight="1" x14ac:dyDescent="0.25">
      <c r="B46" s="163" t="s">
        <v>295</v>
      </c>
      <c r="C46" s="163" t="s">
        <v>307</v>
      </c>
      <c r="D46" s="164" t="s">
        <v>308</v>
      </c>
      <c r="E46" s="165" t="s">
        <v>654</v>
      </c>
      <c r="F46" s="162" t="s">
        <v>770</v>
      </c>
      <c r="G46" s="162" t="s">
        <v>880</v>
      </c>
    </row>
    <row r="47" spans="2:7" ht="78" customHeight="1" x14ac:dyDescent="0.25">
      <c r="B47" s="163" t="s">
        <v>295</v>
      </c>
      <c r="C47" s="163" t="s">
        <v>554</v>
      </c>
      <c r="D47" s="164" t="s">
        <v>568</v>
      </c>
      <c r="E47" s="165" t="s">
        <v>735</v>
      </c>
      <c r="F47" s="183" t="s">
        <v>735</v>
      </c>
      <c r="G47" s="184" t="s">
        <v>881</v>
      </c>
    </row>
    <row r="48" spans="2:7" ht="78" customHeight="1" x14ac:dyDescent="0.25">
      <c r="B48" s="163" t="s">
        <v>309</v>
      </c>
      <c r="C48" s="163" t="s">
        <v>310</v>
      </c>
      <c r="D48" s="164" t="s">
        <v>655</v>
      </c>
      <c r="E48" s="165" t="s">
        <v>656</v>
      </c>
      <c r="F48" s="162" t="s">
        <v>771</v>
      </c>
      <c r="G48" s="162" t="s">
        <v>771</v>
      </c>
    </row>
    <row r="49" spans="2:7" ht="78" customHeight="1" x14ac:dyDescent="0.25">
      <c r="B49" s="163" t="s">
        <v>309</v>
      </c>
      <c r="C49" s="163" t="s">
        <v>312</v>
      </c>
      <c r="D49" s="164" t="s">
        <v>313</v>
      </c>
      <c r="E49" s="165" t="s">
        <v>657</v>
      </c>
      <c r="F49" s="162" t="s">
        <v>657</v>
      </c>
      <c r="G49" s="162" t="s">
        <v>882</v>
      </c>
    </row>
    <row r="50" spans="2:7" ht="78" customHeight="1" x14ac:dyDescent="0.25">
      <c r="B50" s="163" t="s">
        <v>309</v>
      </c>
      <c r="C50" s="163" t="s">
        <v>314</v>
      </c>
      <c r="D50" s="164" t="s">
        <v>315</v>
      </c>
      <c r="E50" s="165" t="s">
        <v>658</v>
      </c>
      <c r="F50" s="162" t="s">
        <v>772</v>
      </c>
      <c r="G50" s="162" t="s">
        <v>883</v>
      </c>
    </row>
    <row r="51" spans="2:7" ht="78" customHeight="1" x14ac:dyDescent="0.25">
      <c r="B51" s="163" t="s">
        <v>309</v>
      </c>
      <c r="C51" s="163" t="s">
        <v>316</v>
      </c>
      <c r="D51" s="164" t="s">
        <v>317</v>
      </c>
      <c r="E51" s="165" t="s">
        <v>736</v>
      </c>
      <c r="F51" s="162" t="s">
        <v>773</v>
      </c>
      <c r="G51" s="162" t="s">
        <v>773</v>
      </c>
    </row>
    <row r="52" spans="2:7" ht="41.25" customHeight="1" x14ac:dyDescent="0.25">
      <c r="B52" s="163" t="s">
        <v>309</v>
      </c>
      <c r="C52" s="163" t="s">
        <v>318</v>
      </c>
      <c r="D52" s="164" t="s">
        <v>659</v>
      </c>
      <c r="E52" s="165" t="s">
        <v>660</v>
      </c>
      <c r="F52" s="162" t="s">
        <v>660</v>
      </c>
      <c r="G52" s="183" t="s">
        <v>660</v>
      </c>
    </row>
    <row r="53" spans="2:7" ht="78" customHeight="1" x14ac:dyDescent="0.25">
      <c r="B53" s="163" t="s">
        <v>309</v>
      </c>
      <c r="C53" s="163" t="s">
        <v>320</v>
      </c>
      <c r="D53" s="164" t="s">
        <v>661</v>
      </c>
      <c r="E53" s="165" t="s">
        <v>737</v>
      </c>
      <c r="F53" s="162" t="s">
        <v>774</v>
      </c>
      <c r="G53" s="162" t="s">
        <v>884</v>
      </c>
    </row>
    <row r="54" spans="2:7" ht="78" customHeight="1" x14ac:dyDescent="0.25">
      <c r="B54" s="163" t="s">
        <v>309</v>
      </c>
      <c r="C54" s="163" t="s">
        <v>322</v>
      </c>
      <c r="D54" s="164" t="s">
        <v>662</v>
      </c>
      <c r="E54" s="165" t="s">
        <v>663</v>
      </c>
      <c r="F54" s="162" t="s">
        <v>775</v>
      </c>
      <c r="G54" s="162" t="s">
        <v>885</v>
      </c>
    </row>
    <row r="55" spans="2:7" ht="148.5" customHeight="1" x14ac:dyDescent="0.25">
      <c r="B55" s="163" t="s">
        <v>324</v>
      </c>
      <c r="C55" s="163" t="s">
        <v>325</v>
      </c>
      <c r="D55" s="164" t="s">
        <v>326</v>
      </c>
      <c r="E55" s="165" t="s">
        <v>664</v>
      </c>
      <c r="F55" s="162" t="s">
        <v>776</v>
      </c>
      <c r="G55" s="162" t="s">
        <v>886</v>
      </c>
    </row>
    <row r="56" spans="2:7" ht="78" customHeight="1" x14ac:dyDescent="0.25">
      <c r="B56" s="163" t="s">
        <v>324</v>
      </c>
      <c r="C56" s="163" t="s">
        <v>327</v>
      </c>
      <c r="D56" s="164" t="s">
        <v>328</v>
      </c>
      <c r="E56" s="165" t="s">
        <v>665</v>
      </c>
      <c r="F56" s="162" t="s">
        <v>777</v>
      </c>
      <c r="G56" s="162" t="s">
        <v>887</v>
      </c>
    </row>
    <row r="57" spans="2:7" ht="54.75" customHeight="1" x14ac:dyDescent="0.25">
      <c r="B57" s="163" t="s">
        <v>324</v>
      </c>
      <c r="C57" s="163" t="s">
        <v>329</v>
      </c>
      <c r="D57" s="164" t="s">
        <v>569</v>
      </c>
      <c r="E57" s="165" t="s">
        <v>666</v>
      </c>
      <c r="F57" s="162" t="s">
        <v>666</v>
      </c>
      <c r="G57" s="162" t="s">
        <v>666</v>
      </c>
    </row>
    <row r="58" spans="2:7" ht="46.5" customHeight="1" x14ac:dyDescent="0.25">
      <c r="B58" s="163" t="s">
        <v>324</v>
      </c>
      <c r="C58" s="163" t="s">
        <v>331</v>
      </c>
      <c r="D58" s="164" t="s">
        <v>332</v>
      </c>
      <c r="E58" s="166" t="s">
        <v>738</v>
      </c>
      <c r="F58" s="184" t="s">
        <v>738</v>
      </c>
      <c r="G58" s="184" t="s">
        <v>888</v>
      </c>
    </row>
    <row r="59" spans="2:7" ht="78" customHeight="1" x14ac:dyDescent="0.25">
      <c r="B59" s="163" t="s">
        <v>324</v>
      </c>
      <c r="C59" s="163" t="s">
        <v>389</v>
      </c>
      <c r="D59" s="164" t="s">
        <v>667</v>
      </c>
      <c r="E59" s="165" t="s">
        <v>668</v>
      </c>
      <c r="F59" s="162" t="s">
        <v>668</v>
      </c>
      <c r="G59" s="162" t="s">
        <v>889</v>
      </c>
    </row>
    <row r="60" spans="2:7" ht="78" customHeight="1" x14ac:dyDescent="0.25">
      <c r="B60" s="163" t="s">
        <v>333</v>
      </c>
      <c r="C60" s="163" t="s">
        <v>334</v>
      </c>
      <c r="D60" s="164" t="s">
        <v>335</v>
      </c>
      <c r="E60" s="165" t="s">
        <v>669</v>
      </c>
      <c r="F60" s="162" t="s">
        <v>768</v>
      </c>
      <c r="G60" s="162" t="s">
        <v>878</v>
      </c>
    </row>
    <row r="61" spans="2:7" ht="165" customHeight="1" x14ac:dyDescent="0.25">
      <c r="B61" s="163" t="s">
        <v>336</v>
      </c>
      <c r="C61" s="163" t="s">
        <v>337</v>
      </c>
      <c r="D61" s="164" t="s">
        <v>54</v>
      </c>
      <c r="E61" s="165" t="s">
        <v>670</v>
      </c>
      <c r="F61" s="162" t="s">
        <v>778</v>
      </c>
      <c r="G61" s="162" t="s">
        <v>890</v>
      </c>
    </row>
    <row r="62" spans="2:7" ht="126.75" customHeight="1" x14ac:dyDescent="0.25">
      <c r="B62" s="163" t="s">
        <v>336</v>
      </c>
      <c r="C62" s="163" t="s">
        <v>339</v>
      </c>
      <c r="D62" s="164" t="s">
        <v>340</v>
      </c>
      <c r="E62" s="166" t="s">
        <v>739</v>
      </c>
      <c r="F62" s="184" t="s">
        <v>779</v>
      </c>
      <c r="G62" s="184" t="s">
        <v>779</v>
      </c>
    </row>
    <row r="63" spans="2:7" ht="150" customHeight="1" x14ac:dyDescent="0.25">
      <c r="B63" s="163" t="s">
        <v>341</v>
      </c>
      <c r="C63" s="163" t="s">
        <v>342</v>
      </c>
      <c r="D63" s="164" t="s">
        <v>343</v>
      </c>
      <c r="E63" s="165" t="s">
        <v>671</v>
      </c>
      <c r="F63" s="162" t="s">
        <v>780</v>
      </c>
      <c r="G63" s="166" t="s">
        <v>891</v>
      </c>
    </row>
    <row r="64" spans="2:7" ht="141.75" customHeight="1" x14ac:dyDescent="0.25">
      <c r="B64" s="163" t="s">
        <v>341</v>
      </c>
      <c r="C64" s="163" t="s">
        <v>344</v>
      </c>
      <c r="D64" s="164" t="s">
        <v>345</v>
      </c>
      <c r="E64" s="165" t="s">
        <v>672</v>
      </c>
      <c r="F64" s="162" t="s">
        <v>781</v>
      </c>
      <c r="G64" s="184" t="s">
        <v>892</v>
      </c>
    </row>
    <row r="65" spans="2:7" ht="78" customHeight="1" x14ac:dyDescent="0.25">
      <c r="B65" s="163" t="s">
        <v>346</v>
      </c>
      <c r="C65" s="163" t="s">
        <v>347</v>
      </c>
      <c r="D65" s="164" t="s">
        <v>673</v>
      </c>
      <c r="E65" s="165" t="s">
        <v>674</v>
      </c>
      <c r="F65" s="162" t="s">
        <v>782</v>
      </c>
      <c r="G65" s="162" t="s">
        <v>782</v>
      </c>
    </row>
    <row r="66" spans="2:7" ht="48" customHeight="1" x14ac:dyDescent="0.25">
      <c r="B66" s="163" t="s">
        <v>349</v>
      </c>
      <c r="C66" s="163" t="s">
        <v>350</v>
      </c>
      <c r="D66" s="164" t="s">
        <v>351</v>
      </c>
      <c r="E66" s="165" t="s">
        <v>675</v>
      </c>
      <c r="F66" s="162" t="s">
        <v>783</v>
      </c>
      <c r="G66" s="162" t="s">
        <v>783</v>
      </c>
    </row>
    <row r="67" spans="2:7" ht="49.5" customHeight="1" x14ac:dyDescent="0.25">
      <c r="B67" s="163" t="s">
        <v>349</v>
      </c>
      <c r="C67" s="163" t="s">
        <v>352</v>
      </c>
      <c r="D67" s="164" t="s">
        <v>353</v>
      </c>
      <c r="E67" s="166" t="s">
        <v>739</v>
      </c>
      <c r="F67" s="184" t="s">
        <v>784</v>
      </c>
      <c r="G67" s="184" t="s">
        <v>893</v>
      </c>
    </row>
    <row r="68" spans="2:7" ht="101.25" customHeight="1" x14ac:dyDescent="0.25">
      <c r="B68" s="163" t="s">
        <v>349</v>
      </c>
      <c r="C68" s="163" t="s">
        <v>354</v>
      </c>
      <c r="D68" s="164" t="s">
        <v>676</v>
      </c>
      <c r="E68" s="165" t="s">
        <v>740</v>
      </c>
      <c r="F68" s="162" t="s">
        <v>785</v>
      </c>
      <c r="G68" s="162" t="s">
        <v>894</v>
      </c>
    </row>
    <row r="69" spans="2:7" ht="84.75" customHeight="1" x14ac:dyDescent="0.25">
      <c r="B69" s="163" t="s">
        <v>356</v>
      </c>
      <c r="C69" s="163" t="s">
        <v>357</v>
      </c>
      <c r="D69" s="164" t="s">
        <v>561</v>
      </c>
      <c r="E69" s="166" t="s">
        <v>741</v>
      </c>
      <c r="F69" s="184" t="s">
        <v>786</v>
      </c>
      <c r="G69" s="184" t="s">
        <v>895</v>
      </c>
    </row>
    <row r="70" spans="2:7" ht="67.5" customHeight="1" x14ac:dyDescent="0.25">
      <c r="B70" s="163" t="s">
        <v>356</v>
      </c>
      <c r="C70" s="163" t="s">
        <v>359</v>
      </c>
      <c r="D70" s="160" t="s">
        <v>563</v>
      </c>
      <c r="E70" s="166" t="s">
        <v>742</v>
      </c>
      <c r="F70" s="184" t="s">
        <v>787</v>
      </c>
      <c r="G70" s="184" t="s">
        <v>787</v>
      </c>
    </row>
    <row r="71" spans="2:7" ht="199.5" customHeight="1" x14ac:dyDescent="0.25">
      <c r="B71" s="163" t="s">
        <v>356</v>
      </c>
      <c r="C71" s="163" t="s">
        <v>361</v>
      </c>
      <c r="D71" s="160" t="s">
        <v>565</v>
      </c>
      <c r="E71" s="165" t="s">
        <v>677</v>
      </c>
      <c r="F71" s="162" t="s">
        <v>788</v>
      </c>
      <c r="G71" s="162" t="s">
        <v>788</v>
      </c>
    </row>
    <row r="72" spans="2:7" ht="155.25" customHeight="1" x14ac:dyDescent="0.25">
      <c r="B72" s="163" t="s">
        <v>356</v>
      </c>
      <c r="C72" s="163" t="s">
        <v>558</v>
      </c>
      <c r="D72" s="160" t="s">
        <v>678</v>
      </c>
      <c r="E72" s="165" t="s">
        <v>679</v>
      </c>
      <c r="F72" s="162" t="s">
        <v>789</v>
      </c>
      <c r="G72" s="184" t="s">
        <v>896</v>
      </c>
    </row>
    <row r="73" spans="2:7" ht="228.75" customHeight="1" x14ac:dyDescent="0.25">
      <c r="B73" s="163" t="s">
        <v>356</v>
      </c>
      <c r="C73" s="163" t="s">
        <v>559</v>
      </c>
      <c r="D73" s="160" t="s">
        <v>680</v>
      </c>
      <c r="E73" s="165" t="s">
        <v>681</v>
      </c>
      <c r="F73" s="162" t="s">
        <v>788</v>
      </c>
      <c r="G73" s="162" t="s">
        <v>788</v>
      </c>
    </row>
    <row r="74" spans="2:7" ht="249" customHeight="1" x14ac:dyDescent="0.25">
      <c r="B74" s="163" t="s">
        <v>356</v>
      </c>
      <c r="C74" s="163" t="s">
        <v>560</v>
      </c>
      <c r="D74" s="164" t="s">
        <v>682</v>
      </c>
      <c r="E74" s="168" t="s">
        <v>683</v>
      </c>
      <c r="F74" s="162" t="s">
        <v>790</v>
      </c>
      <c r="G74" s="106" t="s">
        <v>897</v>
      </c>
    </row>
    <row r="75" spans="2:7" ht="15.75" thickBot="1" x14ac:dyDescent="0.3">
      <c r="E75" s="132"/>
      <c r="G75" s="102"/>
    </row>
    <row r="76" spans="2:7" x14ac:dyDescent="0.25">
      <c r="B76" s="300" t="s">
        <v>627</v>
      </c>
      <c r="C76" s="302" t="s">
        <v>212</v>
      </c>
      <c r="D76" s="302" t="s">
        <v>211</v>
      </c>
      <c r="E76" s="263" t="s">
        <v>743</v>
      </c>
      <c r="F76" s="263" t="s">
        <v>744</v>
      </c>
      <c r="G76" s="263" t="s">
        <v>848</v>
      </c>
    </row>
    <row r="77" spans="2:7" x14ac:dyDescent="0.25">
      <c r="B77" s="301"/>
      <c r="C77" s="303"/>
      <c r="D77" s="303"/>
      <c r="E77" s="264"/>
      <c r="F77" s="264"/>
      <c r="G77" s="264"/>
    </row>
    <row r="78" spans="2:7" ht="409.5" x14ac:dyDescent="0.25">
      <c r="B78" s="133" t="s">
        <v>374</v>
      </c>
      <c r="C78" s="58" t="s">
        <v>375</v>
      </c>
      <c r="D78" s="58" t="s">
        <v>684</v>
      </c>
      <c r="E78" s="134" t="s">
        <v>685</v>
      </c>
      <c r="F78" s="134" t="s">
        <v>791</v>
      </c>
      <c r="G78" s="134" t="s">
        <v>898</v>
      </c>
    </row>
    <row r="79" spans="2:7" ht="165" x14ac:dyDescent="0.25">
      <c r="B79" s="135" t="s">
        <v>374</v>
      </c>
      <c r="C79" s="57" t="s">
        <v>377</v>
      </c>
      <c r="D79" s="58" t="s">
        <v>686</v>
      </c>
      <c r="E79" s="136" t="s">
        <v>687</v>
      </c>
      <c r="F79" s="136" t="s">
        <v>792</v>
      </c>
      <c r="G79" s="136" t="s">
        <v>899</v>
      </c>
    </row>
    <row r="80" spans="2:7" ht="165" customHeight="1" x14ac:dyDescent="0.25">
      <c r="B80" s="135" t="s">
        <v>374</v>
      </c>
      <c r="C80" s="57" t="s">
        <v>379</v>
      </c>
      <c r="D80" s="58" t="s">
        <v>380</v>
      </c>
      <c r="E80" s="136" t="s">
        <v>688</v>
      </c>
      <c r="F80" s="136" t="s">
        <v>793</v>
      </c>
      <c r="G80" s="136" t="s">
        <v>900</v>
      </c>
    </row>
    <row r="81" spans="2:7" ht="105" x14ac:dyDescent="0.25">
      <c r="B81" s="135" t="s">
        <v>381</v>
      </c>
      <c r="C81" s="57" t="s">
        <v>382</v>
      </c>
      <c r="D81" s="58" t="s">
        <v>383</v>
      </c>
      <c r="E81" s="137" t="s">
        <v>689</v>
      </c>
      <c r="F81" s="137" t="s">
        <v>794</v>
      </c>
      <c r="G81" s="137" t="s">
        <v>901</v>
      </c>
    </row>
    <row r="82" spans="2:7" ht="60" customHeight="1" x14ac:dyDescent="0.25">
      <c r="B82" s="133" t="s">
        <v>384</v>
      </c>
      <c r="C82" s="58" t="s">
        <v>325</v>
      </c>
      <c r="D82" s="58" t="s">
        <v>385</v>
      </c>
      <c r="E82" s="138" t="s">
        <v>690</v>
      </c>
      <c r="F82" s="139" t="s">
        <v>795</v>
      </c>
      <c r="G82" s="253" t="s">
        <v>902</v>
      </c>
    </row>
    <row r="83" spans="2:7" ht="409.5" x14ac:dyDescent="0.25">
      <c r="B83" s="135" t="s">
        <v>384</v>
      </c>
      <c r="C83" s="57" t="s">
        <v>327</v>
      </c>
      <c r="D83" s="58" t="s">
        <v>386</v>
      </c>
      <c r="E83" s="139" t="s">
        <v>691</v>
      </c>
      <c r="F83" s="139" t="s">
        <v>796</v>
      </c>
      <c r="G83" s="253" t="s">
        <v>903</v>
      </c>
    </row>
    <row r="84" spans="2:7" ht="45" customHeight="1" x14ac:dyDescent="0.25">
      <c r="B84" s="135" t="s">
        <v>384</v>
      </c>
      <c r="C84" s="57" t="s">
        <v>329</v>
      </c>
      <c r="D84" s="58" t="s">
        <v>387</v>
      </c>
      <c r="E84" s="138" t="s">
        <v>692</v>
      </c>
      <c r="F84" s="138" t="s">
        <v>797</v>
      </c>
      <c r="G84" s="139" t="s">
        <v>904</v>
      </c>
    </row>
    <row r="85" spans="2:7" ht="105" x14ac:dyDescent="0.25">
      <c r="B85" s="135" t="s">
        <v>384</v>
      </c>
      <c r="C85" s="57" t="s">
        <v>331</v>
      </c>
      <c r="D85" s="58" t="s">
        <v>388</v>
      </c>
      <c r="E85" s="138" t="s">
        <v>693</v>
      </c>
      <c r="F85" s="138" t="s">
        <v>798</v>
      </c>
      <c r="G85" s="254" t="s">
        <v>798</v>
      </c>
    </row>
    <row r="86" spans="2:7" ht="60" customHeight="1" x14ac:dyDescent="0.25">
      <c r="B86" s="133" t="s">
        <v>384</v>
      </c>
      <c r="C86" s="58" t="s">
        <v>694</v>
      </c>
      <c r="D86" s="58" t="s">
        <v>390</v>
      </c>
      <c r="E86" s="140" t="s">
        <v>695</v>
      </c>
      <c r="F86" s="140" t="s">
        <v>799</v>
      </c>
      <c r="G86" s="255" t="s">
        <v>905</v>
      </c>
    </row>
    <row r="87" spans="2:7" ht="135" customHeight="1" x14ac:dyDescent="0.25">
      <c r="B87" s="135" t="s">
        <v>384</v>
      </c>
      <c r="C87" s="57" t="s">
        <v>391</v>
      </c>
      <c r="D87" s="58" t="s">
        <v>392</v>
      </c>
      <c r="E87" s="138" t="s">
        <v>696</v>
      </c>
      <c r="F87" s="138" t="s">
        <v>696</v>
      </c>
      <c r="G87" s="139" t="s">
        <v>906</v>
      </c>
    </row>
    <row r="88" spans="2:7" ht="150" x14ac:dyDescent="0.25">
      <c r="B88" s="135" t="s">
        <v>384</v>
      </c>
      <c r="C88" s="57" t="s">
        <v>393</v>
      </c>
      <c r="D88" s="58" t="s">
        <v>394</v>
      </c>
      <c r="E88" s="137" t="s">
        <v>697</v>
      </c>
      <c r="F88" s="137" t="s">
        <v>800</v>
      </c>
      <c r="G88" s="137" t="s">
        <v>907</v>
      </c>
    </row>
    <row r="89" spans="2:7" ht="300" customHeight="1" x14ac:dyDescent="0.25">
      <c r="B89" s="135" t="s">
        <v>395</v>
      </c>
      <c r="C89" s="57" t="s">
        <v>334</v>
      </c>
      <c r="D89" s="58" t="s">
        <v>396</v>
      </c>
      <c r="E89" s="138" t="s">
        <v>698</v>
      </c>
      <c r="F89" s="139" t="s">
        <v>801</v>
      </c>
      <c r="G89" s="139" t="s">
        <v>801</v>
      </c>
    </row>
    <row r="90" spans="2:7" ht="45" customHeight="1" x14ac:dyDescent="0.25">
      <c r="B90" s="133" t="s">
        <v>395</v>
      </c>
      <c r="C90" s="58" t="s">
        <v>699</v>
      </c>
      <c r="D90" s="58" t="s">
        <v>700</v>
      </c>
      <c r="E90" s="138" t="s">
        <v>701</v>
      </c>
      <c r="F90" s="138" t="s">
        <v>701</v>
      </c>
      <c r="G90" s="138" t="s">
        <v>701</v>
      </c>
    </row>
    <row r="91" spans="2:7" ht="270" x14ac:dyDescent="0.25">
      <c r="B91" s="135" t="s">
        <v>399</v>
      </c>
      <c r="C91" s="57" t="s">
        <v>337</v>
      </c>
      <c r="D91" s="58" t="s">
        <v>400</v>
      </c>
      <c r="E91" s="138" t="s">
        <v>702</v>
      </c>
      <c r="F91" s="138" t="s">
        <v>802</v>
      </c>
      <c r="G91" s="138" t="s">
        <v>802</v>
      </c>
    </row>
    <row r="92" spans="2:7" ht="45" customHeight="1" x14ac:dyDescent="0.25">
      <c r="B92" s="135" t="s">
        <v>401</v>
      </c>
      <c r="C92" s="57" t="s">
        <v>342</v>
      </c>
      <c r="D92" s="58" t="s">
        <v>402</v>
      </c>
      <c r="E92" s="141" t="s">
        <v>703</v>
      </c>
      <c r="F92" s="185" t="s">
        <v>803</v>
      </c>
      <c r="G92" s="185" t="s">
        <v>908</v>
      </c>
    </row>
    <row r="93" spans="2:7" ht="285" x14ac:dyDescent="0.25">
      <c r="B93" s="135" t="s">
        <v>403</v>
      </c>
      <c r="C93" s="57" t="s">
        <v>347</v>
      </c>
      <c r="D93" s="58" t="s">
        <v>404</v>
      </c>
      <c r="E93" s="138" t="s">
        <v>704</v>
      </c>
      <c r="F93" s="138" t="s">
        <v>804</v>
      </c>
      <c r="G93" s="138" t="s">
        <v>804</v>
      </c>
    </row>
    <row r="94" spans="2:7" ht="150" x14ac:dyDescent="0.25">
      <c r="B94" s="135" t="s">
        <v>405</v>
      </c>
      <c r="C94" s="57" t="s">
        <v>350</v>
      </c>
      <c r="D94" s="58" t="s">
        <v>406</v>
      </c>
      <c r="E94" s="138" t="s">
        <v>705</v>
      </c>
      <c r="F94" s="138" t="s">
        <v>705</v>
      </c>
      <c r="G94" s="138" t="s">
        <v>705</v>
      </c>
    </row>
    <row r="95" spans="2:7" ht="150" x14ac:dyDescent="0.25">
      <c r="B95" s="135" t="s">
        <v>405</v>
      </c>
      <c r="C95" s="57" t="s">
        <v>352</v>
      </c>
      <c r="D95" s="58" t="s">
        <v>100</v>
      </c>
      <c r="E95" s="138" t="s">
        <v>706</v>
      </c>
      <c r="F95" s="138" t="s">
        <v>706</v>
      </c>
      <c r="G95" s="138" t="s">
        <v>706</v>
      </c>
    </row>
    <row r="96" spans="2:7" ht="90.75" thickBot="1" x14ac:dyDescent="0.3">
      <c r="B96" s="142" t="s">
        <v>405</v>
      </c>
      <c r="C96" s="143" t="s">
        <v>354</v>
      </c>
      <c r="D96" s="144" t="s">
        <v>407</v>
      </c>
      <c r="E96" s="145" t="s">
        <v>707</v>
      </c>
      <c r="F96" s="145" t="s">
        <v>707</v>
      </c>
      <c r="G96" s="145" t="s">
        <v>707</v>
      </c>
    </row>
    <row r="97" spans="2:7" ht="15" customHeight="1" x14ac:dyDescent="0.25"/>
    <row r="98" spans="2:7" ht="15" customHeight="1" x14ac:dyDescent="0.25">
      <c r="B98" s="260" t="s">
        <v>627</v>
      </c>
      <c r="C98" s="263" t="s">
        <v>212</v>
      </c>
      <c r="D98" s="263" t="s">
        <v>211</v>
      </c>
      <c r="E98" s="263" t="s">
        <v>743</v>
      </c>
      <c r="F98" s="263" t="s">
        <v>744</v>
      </c>
      <c r="G98" s="263" t="s">
        <v>848</v>
      </c>
    </row>
    <row r="99" spans="2:7" ht="15" customHeight="1" x14ac:dyDescent="0.25">
      <c r="B99" s="304"/>
      <c r="C99" s="305"/>
      <c r="D99" s="305"/>
      <c r="E99" s="264"/>
      <c r="F99" s="264"/>
      <c r="G99" s="264"/>
    </row>
    <row r="100" spans="2:7" ht="68.25" customHeight="1" x14ac:dyDescent="0.25">
      <c r="B100" s="163" t="s">
        <v>414</v>
      </c>
      <c r="C100" s="163" t="s">
        <v>415</v>
      </c>
      <c r="D100" s="164" t="s">
        <v>416</v>
      </c>
      <c r="E100" s="166" t="s">
        <v>719</v>
      </c>
      <c r="F100" s="184" t="s">
        <v>805</v>
      </c>
      <c r="G100" s="184" t="s">
        <v>909</v>
      </c>
    </row>
    <row r="101" spans="2:7" ht="68.25" customHeight="1" x14ac:dyDescent="0.25">
      <c r="B101" s="163" t="s">
        <v>414</v>
      </c>
      <c r="C101" s="163" t="s">
        <v>417</v>
      </c>
      <c r="D101" s="164" t="s">
        <v>418</v>
      </c>
      <c r="E101" s="166" t="s">
        <v>720</v>
      </c>
      <c r="F101" s="184" t="s">
        <v>805</v>
      </c>
      <c r="G101" s="184" t="s">
        <v>909</v>
      </c>
    </row>
    <row r="102" spans="2:7" ht="68.25" customHeight="1" x14ac:dyDescent="0.25">
      <c r="B102" s="163" t="s">
        <v>414</v>
      </c>
      <c r="C102" s="163" t="s">
        <v>419</v>
      </c>
      <c r="D102" s="164" t="s">
        <v>420</v>
      </c>
      <c r="E102" s="166" t="s">
        <v>721</v>
      </c>
      <c r="F102" s="184" t="s">
        <v>806</v>
      </c>
      <c r="G102" s="184" t="s">
        <v>909</v>
      </c>
    </row>
    <row r="103" spans="2:7" ht="68.25" customHeight="1" x14ac:dyDescent="0.25">
      <c r="B103" s="163" t="s">
        <v>421</v>
      </c>
      <c r="C103" s="163" t="s">
        <v>422</v>
      </c>
      <c r="D103" s="164" t="s">
        <v>423</v>
      </c>
      <c r="E103" s="167" t="s">
        <v>722</v>
      </c>
      <c r="F103" s="184" t="s">
        <v>807</v>
      </c>
      <c r="G103" s="184" t="s">
        <v>910</v>
      </c>
    </row>
    <row r="104" spans="2:7" ht="68.25" customHeight="1" x14ac:dyDescent="0.25">
      <c r="B104" s="163" t="s">
        <v>424</v>
      </c>
      <c r="C104" s="163" t="s">
        <v>425</v>
      </c>
      <c r="D104" s="164" t="s">
        <v>426</v>
      </c>
      <c r="E104" s="165" t="s">
        <v>723</v>
      </c>
      <c r="F104" s="162" t="s">
        <v>808</v>
      </c>
      <c r="G104" s="162" t="s">
        <v>911</v>
      </c>
    </row>
    <row r="105" spans="2:7" ht="68.25" customHeight="1" x14ac:dyDescent="0.25">
      <c r="B105" s="163" t="s">
        <v>427</v>
      </c>
      <c r="C105" s="163" t="s">
        <v>428</v>
      </c>
      <c r="D105" s="164" t="s">
        <v>429</v>
      </c>
      <c r="E105" s="168" t="s">
        <v>724</v>
      </c>
      <c r="F105" s="162" t="s">
        <v>809</v>
      </c>
      <c r="G105" s="162" t="s">
        <v>912</v>
      </c>
    </row>
    <row r="106" spans="2:7" ht="68.25" customHeight="1" x14ac:dyDescent="0.25">
      <c r="B106" s="163" t="s">
        <v>427</v>
      </c>
      <c r="C106" s="163" t="s">
        <v>430</v>
      </c>
      <c r="D106" s="164" t="s">
        <v>431</v>
      </c>
      <c r="E106" s="168" t="s">
        <v>725</v>
      </c>
      <c r="F106" s="162" t="s">
        <v>810</v>
      </c>
      <c r="G106" s="162" t="s">
        <v>913</v>
      </c>
    </row>
    <row r="107" spans="2:7" ht="68.25" customHeight="1" x14ac:dyDescent="0.25">
      <c r="B107" s="163" t="s">
        <v>432</v>
      </c>
      <c r="C107" s="163" t="s">
        <v>433</v>
      </c>
      <c r="D107" s="164" t="s">
        <v>434</v>
      </c>
      <c r="E107" s="168" t="s">
        <v>726</v>
      </c>
      <c r="F107" s="162" t="s">
        <v>726</v>
      </c>
      <c r="G107" s="162" t="s">
        <v>726</v>
      </c>
    </row>
    <row r="108" spans="2:7" ht="68.25" customHeight="1" x14ac:dyDescent="0.25">
      <c r="B108" s="163" t="s">
        <v>432</v>
      </c>
      <c r="C108" s="163" t="s">
        <v>435</v>
      </c>
      <c r="D108" s="164" t="s">
        <v>436</v>
      </c>
      <c r="E108" s="168" t="s">
        <v>727</v>
      </c>
      <c r="F108" s="162" t="s">
        <v>727</v>
      </c>
      <c r="G108" s="162" t="s">
        <v>727</v>
      </c>
    </row>
    <row r="109" spans="2:7" ht="68.25" customHeight="1" x14ac:dyDescent="0.25">
      <c r="B109" s="163" t="s">
        <v>437</v>
      </c>
      <c r="C109" s="163" t="s">
        <v>438</v>
      </c>
      <c r="D109" s="164" t="s">
        <v>439</v>
      </c>
      <c r="E109" s="168" t="s">
        <v>728</v>
      </c>
      <c r="F109" s="162" t="s">
        <v>728</v>
      </c>
      <c r="G109" s="162" t="s">
        <v>913</v>
      </c>
    </row>
    <row r="110" spans="2:7" ht="68.25" customHeight="1" x14ac:dyDescent="0.25">
      <c r="B110" s="163" t="s">
        <v>440</v>
      </c>
      <c r="C110" s="163" t="s">
        <v>441</v>
      </c>
      <c r="D110" s="164" t="s">
        <v>442</v>
      </c>
      <c r="E110" s="168" t="s">
        <v>729</v>
      </c>
      <c r="F110" s="162" t="s">
        <v>729</v>
      </c>
      <c r="G110" s="162" t="s">
        <v>729</v>
      </c>
    </row>
    <row r="111" spans="2:7" ht="68.25" customHeight="1" x14ac:dyDescent="0.25">
      <c r="B111" s="163" t="s">
        <v>440</v>
      </c>
      <c r="C111" s="163" t="s">
        <v>443</v>
      </c>
      <c r="D111" s="164" t="s">
        <v>444</v>
      </c>
      <c r="E111" s="168" t="s">
        <v>729</v>
      </c>
      <c r="F111" s="162" t="s">
        <v>811</v>
      </c>
      <c r="G111" s="162" t="s">
        <v>729</v>
      </c>
    </row>
    <row r="112" spans="2:7" ht="68.25" customHeight="1" x14ac:dyDescent="0.25">
      <c r="B112" s="159" t="s">
        <v>440</v>
      </c>
      <c r="C112" s="159" t="s">
        <v>445</v>
      </c>
      <c r="D112" s="160" t="s">
        <v>446</v>
      </c>
      <c r="E112" s="168" t="s">
        <v>729</v>
      </c>
      <c r="F112" s="106" t="s">
        <v>812</v>
      </c>
      <c r="G112" s="106" t="s">
        <v>909</v>
      </c>
    </row>
    <row r="114" spans="2:7" x14ac:dyDescent="0.25">
      <c r="B114" s="260" t="s">
        <v>627</v>
      </c>
      <c r="C114" s="263" t="s">
        <v>212</v>
      </c>
      <c r="D114" s="263" t="s">
        <v>211</v>
      </c>
      <c r="E114" s="263" t="s">
        <v>743</v>
      </c>
      <c r="F114" s="263" t="s">
        <v>744</v>
      </c>
      <c r="G114" s="263" t="s">
        <v>848</v>
      </c>
    </row>
    <row r="115" spans="2:7" x14ac:dyDescent="0.25">
      <c r="B115" s="261"/>
      <c r="C115" s="264"/>
      <c r="D115" s="264"/>
      <c r="E115" s="264"/>
      <c r="F115" s="264"/>
      <c r="G115" s="264"/>
    </row>
    <row r="116" spans="2:7" ht="70.5" customHeight="1" x14ac:dyDescent="0.25">
      <c r="B116" s="159" t="s">
        <v>450</v>
      </c>
      <c r="C116" s="159" t="s">
        <v>451</v>
      </c>
      <c r="D116" s="160" t="s">
        <v>452</v>
      </c>
      <c r="E116" s="169" t="s">
        <v>730</v>
      </c>
      <c r="F116" s="180"/>
      <c r="G116" s="180"/>
    </row>
    <row r="117" spans="2:7" ht="70.5" customHeight="1" x14ac:dyDescent="0.25">
      <c r="B117" s="159" t="s">
        <v>453</v>
      </c>
      <c r="C117" s="159" t="s">
        <v>454</v>
      </c>
      <c r="D117" s="160" t="s">
        <v>455</v>
      </c>
      <c r="E117" s="170"/>
      <c r="F117" s="162"/>
      <c r="G117" s="162"/>
    </row>
    <row r="118" spans="2:7" ht="108.75" customHeight="1" x14ac:dyDescent="0.25">
      <c r="B118" s="159" t="s">
        <v>453</v>
      </c>
      <c r="C118" s="159" t="s">
        <v>456</v>
      </c>
      <c r="D118" s="160" t="s">
        <v>457</v>
      </c>
      <c r="E118" s="161" t="s">
        <v>708</v>
      </c>
      <c r="F118" s="180" t="s">
        <v>814</v>
      </c>
      <c r="G118" s="180" t="s">
        <v>916</v>
      </c>
    </row>
    <row r="119" spans="2:7" ht="70.5" customHeight="1" x14ac:dyDescent="0.25">
      <c r="B119" s="159" t="s">
        <v>453</v>
      </c>
      <c r="C119" s="159" t="s">
        <v>458</v>
      </c>
      <c r="D119" s="160" t="s">
        <v>459</v>
      </c>
      <c r="E119" s="161" t="s">
        <v>709</v>
      </c>
      <c r="F119" s="180" t="s">
        <v>815</v>
      </c>
      <c r="G119" s="180" t="s">
        <v>918</v>
      </c>
    </row>
    <row r="120" spans="2:7" ht="70.5" customHeight="1" x14ac:dyDescent="0.25">
      <c r="B120" s="159" t="s">
        <v>453</v>
      </c>
      <c r="C120" s="159" t="s">
        <v>460</v>
      </c>
      <c r="D120" s="160" t="s">
        <v>461</v>
      </c>
      <c r="E120" s="171" t="s">
        <v>710</v>
      </c>
      <c r="F120" s="186" t="s">
        <v>816</v>
      </c>
      <c r="G120" s="186" t="s">
        <v>917</v>
      </c>
    </row>
    <row r="121" spans="2:7" ht="70.5" customHeight="1" x14ac:dyDescent="0.25">
      <c r="B121" s="159" t="s">
        <v>453</v>
      </c>
      <c r="C121" s="159" t="s">
        <v>462</v>
      </c>
      <c r="D121" s="160" t="s">
        <v>463</v>
      </c>
      <c r="E121" s="161" t="s">
        <v>711</v>
      </c>
      <c r="F121" s="180"/>
      <c r="G121" s="180" t="s">
        <v>919</v>
      </c>
    </row>
    <row r="122" spans="2:7" ht="70.5" customHeight="1" x14ac:dyDescent="0.25">
      <c r="B122" s="159" t="s">
        <v>453</v>
      </c>
      <c r="C122" s="159" t="s">
        <v>464</v>
      </c>
      <c r="D122" s="160" t="s">
        <v>465</v>
      </c>
      <c r="E122" s="161" t="s">
        <v>712</v>
      </c>
      <c r="F122" s="180"/>
      <c r="G122" s="180" t="s">
        <v>920</v>
      </c>
    </row>
    <row r="123" spans="2:7" ht="70.5" customHeight="1" x14ac:dyDescent="0.25">
      <c r="B123" s="159" t="s">
        <v>453</v>
      </c>
      <c r="C123" s="159" t="s">
        <v>466</v>
      </c>
      <c r="D123" s="160" t="s">
        <v>467</v>
      </c>
      <c r="E123" s="172" t="s">
        <v>713</v>
      </c>
      <c r="F123" s="187"/>
      <c r="G123" s="187" t="s">
        <v>921</v>
      </c>
    </row>
    <row r="124" spans="2:7" ht="70.5" customHeight="1" x14ac:dyDescent="0.25">
      <c r="B124" s="159" t="s">
        <v>453</v>
      </c>
      <c r="C124" s="159" t="s">
        <v>468</v>
      </c>
      <c r="D124" s="160" t="s">
        <v>469</v>
      </c>
      <c r="E124" s="161" t="s">
        <v>714</v>
      </c>
      <c r="F124" s="180"/>
      <c r="G124" s="180" t="s">
        <v>922</v>
      </c>
    </row>
    <row r="125" spans="2:7" ht="70.5" customHeight="1" x14ac:dyDescent="0.25">
      <c r="B125" s="159" t="s">
        <v>453</v>
      </c>
      <c r="C125" s="159" t="s">
        <v>470</v>
      </c>
      <c r="D125" s="160" t="s">
        <v>471</v>
      </c>
      <c r="E125" s="161" t="s">
        <v>715</v>
      </c>
      <c r="F125" s="180"/>
      <c r="G125" s="180" t="s">
        <v>923</v>
      </c>
    </row>
    <row r="126" spans="2:7" ht="70.5" customHeight="1" x14ac:dyDescent="0.25">
      <c r="B126" s="159" t="s">
        <v>472</v>
      </c>
      <c r="C126" s="159" t="s">
        <v>473</v>
      </c>
      <c r="D126" s="160" t="s">
        <v>474</v>
      </c>
      <c r="E126" s="161" t="s">
        <v>716</v>
      </c>
      <c r="F126" s="180" t="s">
        <v>817</v>
      </c>
      <c r="G126" s="180" t="s">
        <v>924</v>
      </c>
    </row>
    <row r="127" spans="2:7" ht="70.5" customHeight="1" x14ac:dyDescent="0.25">
      <c r="B127" s="159" t="s">
        <v>472</v>
      </c>
      <c r="C127" s="159" t="s">
        <v>475</v>
      </c>
      <c r="D127" s="160" t="s">
        <v>476</v>
      </c>
      <c r="E127" s="173" t="s">
        <v>717</v>
      </c>
      <c r="F127" s="180" t="s">
        <v>818</v>
      </c>
      <c r="G127" s="180" t="s">
        <v>925</v>
      </c>
    </row>
    <row r="128" spans="2:7" ht="70.5" customHeight="1" x14ac:dyDescent="0.25">
      <c r="B128" s="159" t="s">
        <v>472</v>
      </c>
      <c r="C128" s="159" t="s">
        <v>477</v>
      </c>
      <c r="D128" s="160" t="s">
        <v>478</v>
      </c>
      <c r="E128" s="169"/>
      <c r="F128" s="180"/>
      <c r="G128" s="180"/>
    </row>
    <row r="129" spans="2:7" ht="70.5" customHeight="1" x14ac:dyDescent="0.25">
      <c r="B129" s="159" t="s">
        <v>472</v>
      </c>
      <c r="C129" s="159" t="s">
        <v>479</v>
      </c>
      <c r="D129" s="160" t="s">
        <v>480</v>
      </c>
      <c r="E129" s="170"/>
      <c r="F129" s="162"/>
      <c r="G129" s="162"/>
    </row>
    <row r="130" spans="2:7" ht="163.5" customHeight="1" x14ac:dyDescent="0.25">
      <c r="B130" s="159" t="s">
        <v>472</v>
      </c>
      <c r="C130" s="159" t="s">
        <v>481</v>
      </c>
      <c r="D130" s="160" t="s">
        <v>482</v>
      </c>
      <c r="E130" s="174" t="s">
        <v>731</v>
      </c>
      <c r="F130" s="187" t="s">
        <v>813</v>
      </c>
      <c r="G130" s="187" t="s">
        <v>914</v>
      </c>
    </row>
    <row r="131" spans="2:7" ht="70.5" customHeight="1" x14ac:dyDescent="0.25">
      <c r="B131" s="159" t="s">
        <v>483</v>
      </c>
      <c r="C131" s="159" t="s">
        <v>484</v>
      </c>
      <c r="D131" s="160" t="s">
        <v>485</v>
      </c>
      <c r="E131" s="170"/>
      <c r="F131" s="162"/>
      <c r="G131" s="180"/>
    </row>
    <row r="132" spans="2:7" ht="70.5" customHeight="1" x14ac:dyDescent="0.25">
      <c r="B132" s="163" t="s">
        <v>486</v>
      </c>
      <c r="C132" s="163" t="s">
        <v>487</v>
      </c>
      <c r="D132" s="164" t="s">
        <v>488</v>
      </c>
      <c r="E132" s="188" t="s">
        <v>718</v>
      </c>
      <c r="F132" s="182" t="s">
        <v>718</v>
      </c>
      <c r="G132" s="182" t="s">
        <v>915</v>
      </c>
    </row>
    <row r="133" spans="2:7" ht="15" customHeight="1" x14ac:dyDescent="0.25"/>
    <row r="137" spans="2:7" ht="15" customHeight="1" x14ac:dyDescent="0.25"/>
    <row r="139" spans="2:7" ht="15" customHeight="1" x14ac:dyDescent="0.25"/>
    <row r="145" ht="15" customHeight="1" x14ac:dyDescent="0.25"/>
  </sheetData>
  <customSheetViews>
    <customSheetView guid="{FC774746-3857-4381-B35D-AC071296263D}" scale="85" topLeftCell="A25">
      <selection activeCell="E7" sqref="E7"/>
      <pageMargins left="0.7" right="0.7" top="0.75" bottom="0.75" header="0.3" footer="0.3"/>
    </customSheetView>
  </customSheetViews>
  <mergeCells count="36">
    <mergeCell ref="G4:G5"/>
    <mergeCell ref="B114:B115"/>
    <mergeCell ref="C114:C115"/>
    <mergeCell ref="D114:D115"/>
    <mergeCell ref="E114:E115"/>
    <mergeCell ref="E76:E77"/>
    <mergeCell ref="B76:B77"/>
    <mergeCell ref="C76:C77"/>
    <mergeCell ref="D76:D77"/>
    <mergeCell ref="B98:B99"/>
    <mergeCell ref="C98:C99"/>
    <mergeCell ref="D98:D99"/>
    <mergeCell ref="E98:E99"/>
    <mergeCell ref="C38:C39"/>
    <mergeCell ref="D38:D39"/>
    <mergeCell ref="E38:E39"/>
    <mergeCell ref="F4:F5"/>
    <mergeCell ref="F38:F39"/>
    <mergeCell ref="B38:B39"/>
    <mergeCell ref="B4:B5"/>
    <mergeCell ref="C4:C5"/>
    <mergeCell ref="D4:D5"/>
    <mergeCell ref="E4:E5"/>
    <mergeCell ref="B6:B10"/>
    <mergeCell ref="B11:B15"/>
    <mergeCell ref="B16:B20"/>
    <mergeCell ref="B21:B29"/>
    <mergeCell ref="B31:B33"/>
    <mergeCell ref="B34:B36"/>
    <mergeCell ref="G114:G115"/>
    <mergeCell ref="G98:G99"/>
    <mergeCell ref="G76:G77"/>
    <mergeCell ref="G38:G39"/>
    <mergeCell ref="F114:F115"/>
    <mergeCell ref="F98:F99"/>
    <mergeCell ref="F76:F7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K91"/>
  <sheetViews>
    <sheetView topLeftCell="A40" zoomScale="55" zoomScaleNormal="55" workbookViewId="0">
      <selection activeCell="K74" sqref="K74"/>
    </sheetView>
  </sheetViews>
  <sheetFormatPr baseColWidth="10" defaultRowHeight="15" x14ac:dyDescent="0.25"/>
  <cols>
    <col min="1" max="1" width="95" customWidth="1"/>
    <col min="2" max="2" width="13.85546875" customWidth="1"/>
    <col min="3" max="3" width="20.5703125" customWidth="1"/>
    <col min="4" max="4" width="18.85546875" customWidth="1"/>
    <col min="5" max="5" width="19" customWidth="1"/>
    <col min="6" max="6" width="18" customWidth="1"/>
    <col min="7" max="7" width="16.5703125" customWidth="1"/>
    <col min="8" max="8" width="16.85546875" customWidth="1"/>
    <col min="9" max="9" width="17.7109375" customWidth="1"/>
    <col min="10" max="10" width="15.140625" customWidth="1"/>
    <col min="11" max="11" width="96.42578125" customWidth="1"/>
    <col min="12" max="12" width="15.42578125" customWidth="1"/>
    <col min="13" max="13" width="19" customWidth="1"/>
    <col min="14" max="14" width="22.140625" customWidth="1"/>
    <col min="15" max="15" width="19" customWidth="1"/>
    <col min="16" max="16" width="13.42578125" bestFit="1" customWidth="1"/>
    <col min="18" max="18" width="14.85546875" customWidth="1"/>
    <col min="19" max="19" width="17.140625" customWidth="1"/>
    <col min="21" max="21" width="93.140625" customWidth="1"/>
    <col min="22" max="22" width="13.85546875" customWidth="1"/>
    <col min="23" max="23" width="21" customWidth="1"/>
    <col min="24" max="24" width="20.140625" customWidth="1"/>
    <col min="25" max="25" width="19.85546875" customWidth="1"/>
    <col min="26" max="29" width="13.42578125" customWidth="1"/>
    <col min="31" max="31" width="97.28515625" customWidth="1"/>
    <col min="32" max="34" width="14.42578125" customWidth="1"/>
  </cols>
  <sheetData>
    <row r="1" spans="1:37" x14ac:dyDescent="0.25">
      <c r="A1" s="306" t="s">
        <v>837</v>
      </c>
      <c r="B1" s="306"/>
      <c r="C1" s="306"/>
      <c r="D1" s="306"/>
      <c r="E1" s="306"/>
      <c r="F1" s="306"/>
      <c r="G1" s="306"/>
      <c r="H1" s="306"/>
      <c r="I1" s="306"/>
      <c r="K1" s="307" t="s">
        <v>279</v>
      </c>
      <c r="L1" s="307"/>
      <c r="M1" s="307"/>
      <c r="N1" s="307"/>
      <c r="O1" s="307"/>
      <c r="P1" s="307"/>
      <c r="Q1" s="307"/>
      <c r="R1" s="307"/>
      <c r="S1" s="307"/>
      <c r="U1" s="308" t="s">
        <v>280</v>
      </c>
      <c r="V1" s="308"/>
      <c r="W1" s="308"/>
      <c r="X1" s="308"/>
      <c r="Y1" s="308"/>
      <c r="Z1" s="308"/>
      <c r="AA1" s="308"/>
      <c r="AB1" s="308"/>
      <c r="AC1" s="308"/>
      <c r="AE1" s="308" t="s">
        <v>281</v>
      </c>
      <c r="AF1" s="308"/>
      <c r="AG1" s="308"/>
      <c r="AH1" s="308"/>
      <c r="AI1" s="308"/>
      <c r="AJ1" s="308"/>
      <c r="AK1" s="308"/>
    </row>
    <row r="2" spans="1:37" ht="47.25" customHeight="1" x14ac:dyDescent="0.25">
      <c r="A2" s="86" t="s">
        <v>275</v>
      </c>
      <c r="B2" s="86" t="s">
        <v>819</v>
      </c>
      <c r="C2" s="86" t="s">
        <v>276</v>
      </c>
      <c r="D2" s="86" t="s">
        <v>277</v>
      </c>
      <c r="E2" s="86" t="s">
        <v>278</v>
      </c>
      <c r="F2" s="86" t="s">
        <v>274</v>
      </c>
      <c r="G2" s="86" t="s">
        <v>288</v>
      </c>
      <c r="H2" s="196" t="s">
        <v>820</v>
      </c>
      <c r="I2" s="86" t="s">
        <v>289</v>
      </c>
      <c r="K2" s="86" t="s">
        <v>275</v>
      </c>
      <c r="L2" s="86" t="s">
        <v>819</v>
      </c>
      <c r="M2" s="86" t="s">
        <v>276</v>
      </c>
      <c r="N2" s="86" t="s">
        <v>277</v>
      </c>
      <c r="O2" s="86" t="s">
        <v>278</v>
      </c>
      <c r="P2" s="86" t="s">
        <v>274</v>
      </c>
      <c r="Q2" s="86" t="s">
        <v>288</v>
      </c>
      <c r="R2" s="196" t="s">
        <v>820</v>
      </c>
      <c r="S2" s="86" t="s">
        <v>289</v>
      </c>
      <c r="U2" s="71" t="s">
        <v>275</v>
      </c>
      <c r="V2" s="86" t="s">
        <v>819</v>
      </c>
      <c r="W2" s="71" t="s">
        <v>276</v>
      </c>
      <c r="X2" s="71" t="s">
        <v>277</v>
      </c>
      <c r="Y2" s="71" t="s">
        <v>278</v>
      </c>
      <c r="Z2" s="71" t="s">
        <v>274</v>
      </c>
      <c r="AA2" s="71" t="s">
        <v>288</v>
      </c>
      <c r="AB2" s="196" t="s">
        <v>820</v>
      </c>
      <c r="AC2" s="71" t="s">
        <v>289</v>
      </c>
      <c r="AE2" s="71" t="s">
        <v>275</v>
      </c>
      <c r="AF2" s="71" t="s">
        <v>276</v>
      </c>
      <c r="AG2" s="71" t="s">
        <v>277</v>
      </c>
      <c r="AH2" s="71" t="s">
        <v>278</v>
      </c>
      <c r="AI2" s="71" t="s">
        <v>274</v>
      </c>
      <c r="AJ2" s="71" t="s">
        <v>288</v>
      </c>
      <c r="AK2" s="71" t="s">
        <v>289</v>
      </c>
    </row>
    <row r="3" spans="1:37" x14ac:dyDescent="0.25">
      <c r="A3" s="53" t="str">
        <f>Proyectos!$B1</f>
        <v>PY.1 Identidad con la teleología institucional</v>
      </c>
      <c r="B3" s="194">
        <v>0.2</v>
      </c>
      <c r="C3" s="72">
        <f>SUMIFS(Plan!$G$3:$G$118,Plan!$A$3:$A$118,Plan!$A126)</f>
        <v>53581202</v>
      </c>
      <c r="D3" s="72">
        <f>SUMIFS(Plan!$H$3:$H$118,Plan!$A$3:$A$118,Plan!$A126)</f>
        <v>37240176.200000003</v>
      </c>
      <c r="E3" s="72">
        <f>C3-D3</f>
        <v>16341025.799999997</v>
      </c>
      <c r="F3" s="59">
        <f t="shared" ref="F3:F9" si="0">IFERROR((D3/C3),"")</f>
        <v>0.69502315756186284</v>
      </c>
      <c r="G3" s="59">
        <f>IFERROR((AVERAGE(Metas!R3:R7)),"")</f>
        <v>1</v>
      </c>
      <c r="H3" s="59">
        <f t="shared" ref="H3:H8" si="1">+G3*B3</f>
        <v>0.2</v>
      </c>
      <c r="I3" s="59">
        <f>IFERROR(((F3+G3)/2),0)</f>
        <v>0.84751157878093142</v>
      </c>
      <c r="K3" s="53" t="str">
        <f>Proyectos!$B1</f>
        <v>PY.1 Identidad con la teleología institucional</v>
      </c>
      <c r="L3" s="194">
        <v>0.2</v>
      </c>
      <c r="M3" s="72">
        <f>SUMIFS(Plan!$N$3:$N$118,Plan!$A$3:$A$118,Plan!$A126)</f>
        <v>81343227</v>
      </c>
      <c r="N3" s="72">
        <f>SUMIFS(Plan!$O$3:$O$118,Plan!$A$3:$A$118,Plan!$A126)</f>
        <v>62714331.200000003</v>
      </c>
      <c r="O3" s="72">
        <f>M3-N3</f>
        <v>18628895.799999997</v>
      </c>
      <c r="P3" s="59">
        <f t="shared" ref="P3:P10" si="2">IFERROR((N3/M3),"")</f>
        <v>0.77098405746799303</v>
      </c>
      <c r="Q3" s="59">
        <v>0.96399999999999997</v>
      </c>
      <c r="R3" s="59">
        <f>+Q3*L3</f>
        <v>0.1928</v>
      </c>
      <c r="S3" s="59">
        <f>IFERROR(((P3+Q3)/2),0)</f>
        <v>0.86749202873399645</v>
      </c>
      <c r="U3" s="53" t="str">
        <f>Proyectos!$B1</f>
        <v>PY.1 Identidad con la teleología institucional</v>
      </c>
      <c r="V3" s="194">
        <v>0.2</v>
      </c>
      <c r="W3" s="72">
        <f>SUMIFS(Plan!$U$3:$U$118,Plan!$A$3:$A$118,Plan!$A126)</f>
        <v>142292706.25</v>
      </c>
      <c r="X3" s="72">
        <f>SUMIFS(Plan!$V$3:$V$118,Plan!$A$3:$A$118,Plan!$A126)</f>
        <v>100062991</v>
      </c>
      <c r="Y3" s="72">
        <f>W3-X3</f>
        <v>42229715.25</v>
      </c>
      <c r="Z3" s="59">
        <f t="shared" ref="Z3:Z9" si="3">IFERROR((X3/W3),"")</f>
        <v>0.70321939639123276</v>
      </c>
      <c r="AA3" s="59">
        <f>IFERROR((AVERAGE(Metas!AD3:AD7)),"")</f>
        <v>1</v>
      </c>
      <c r="AB3" s="59">
        <f>+AA3*V3</f>
        <v>0.2</v>
      </c>
      <c r="AC3" s="59">
        <f t="shared" ref="AC3:AC9" si="4">IFERROR(((Z3+AA3)/2),0)</f>
        <v>0.85160969819561638</v>
      </c>
      <c r="AE3" s="53" t="str">
        <f>Proyectos!$B1</f>
        <v>PY.1 Identidad con la teleología institucional</v>
      </c>
      <c r="AF3" s="72">
        <f>SUMIFS(Plan!$Z$3:$Z$118,Plan!$A$3:$A$118,Plan!$A126)</f>
        <v>0</v>
      </c>
      <c r="AG3" s="72">
        <f>SUMIFS(Plan!$AA$3:$AA$118,Plan!$A$3:$A$118,Plan!$A126)</f>
        <v>0</v>
      </c>
      <c r="AH3" s="72">
        <f>AF3-AG3</f>
        <v>0</v>
      </c>
      <c r="AI3" s="59" t="str">
        <f>IFERROR((AG3/AF3),"")</f>
        <v/>
      </c>
      <c r="AJ3" s="59">
        <f>Cumplimiento!AR3</f>
        <v>0.8</v>
      </c>
      <c r="AK3" s="59">
        <f>IFERROR(((AI3+AJ3)/2),0)</f>
        <v>0</v>
      </c>
    </row>
    <row r="4" spans="1:37" x14ac:dyDescent="0.25">
      <c r="A4" s="53" t="str">
        <f>Proyectos!$B2</f>
        <v>PY.2 Creación de nueva oferta académica en las Sedes</v>
      </c>
      <c r="B4" s="194">
        <v>0.05</v>
      </c>
      <c r="C4" s="72">
        <f>SUMIFS(Plan!$G$3:$G$118,Plan!$A$3:$A$118,Plan!$A127)</f>
        <v>9250000</v>
      </c>
      <c r="D4" s="72">
        <f>SUMIFS(Plan!$H$3:$H$118,Plan!$A$3:$A$118,Plan!$A127)</f>
        <v>6434118</v>
      </c>
      <c r="E4" s="72">
        <f t="shared" ref="E4:E9" si="5">C4-D4</f>
        <v>2815882</v>
      </c>
      <c r="F4" s="59">
        <f t="shared" si="0"/>
        <v>0.69558032432432437</v>
      </c>
      <c r="G4" s="59">
        <f>IFERROR((AVERAGE(Metas!R8:R8)),"")</f>
        <v>1</v>
      </c>
      <c r="H4" s="59">
        <f t="shared" si="1"/>
        <v>0.05</v>
      </c>
      <c r="I4" s="59">
        <f t="shared" ref="I4:I9" si="6">IFERROR(((F4+G4)/2),0)</f>
        <v>0.84779016216216219</v>
      </c>
      <c r="K4" s="53" t="str">
        <f>Proyectos!$B2</f>
        <v>PY.2 Creación de nueva oferta académica en las Sedes</v>
      </c>
      <c r="L4" s="194">
        <v>0.05</v>
      </c>
      <c r="M4" s="72">
        <f>SUMIFS(Plan!$N$3:$N$118,Plan!$A$3:$A$118,Plan!$A127)</f>
        <v>9000000</v>
      </c>
      <c r="N4" s="72">
        <f>SUMIFS(Plan!$O$3:$O$118,Plan!$A$3:$A$118,Plan!$A127)</f>
        <v>8153118</v>
      </c>
      <c r="O4" s="72">
        <f t="shared" ref="O4:O9" si="7">M4-N4</f>
        <v>846882</v>
      </c>
      <c r="P4" s="59">
        <f t="shared" si="2"/>
        <v>0.90590199999999999</v>
      </c>
      <c r="Q4" s="59">
        <f>IFERROR((AVERAGE(Metas!X8:X8)),"")</f>
        <v>1</v>
      </c>
      <c r="R4" s="59">
        <f t="shared" ref="R4:R8" si="8">+Q4*L4</f>
        <v>0.05</v>
      </c>
      <c r="S4" s="59">
        <f t="shared" ref="S4:S9" si="9">IFERROR(((P4+Q4)/2),0)</f>
        <v>0.95295099999999999</v>
      </c>
      <c r="U4" s="53" t="str">
        <f>Proyectos!$B2</f>
        <v>PY.2 Creación de nueva oferta académica en las Sedes</v>
      </c>
      <c r="V4" s="194">
        <v>0.05</v>
      </c>
      <c r="W4" s="72">
        <f>SUMIFS(Plan!$U$3:$U$118,Plan!$A$3:$A$118,Plan!$A127)</f>
        <v>15000000</v>
      </c>
      <c r="X4" s="72">
        <f>SUMIFS(Plan!$V$3:$V$118,Plan!$A$3:$A$118,Plan!$A127)</f>
        <v>12353118</v>
      </c>
      <c r="Y4" s="72">
        <f t="shared" ref="Y4:Y9" si="10">W4-X4</f>
        <v>2646882</v>
      </c>
      <c r="Z4" s="59">
        <f t="shared" si="3"/>
        <v>0.82354119999999997</v>
      </c>
      <c r="AA4" s="59">
        <f>IFERROR((AVERAGE(Metas!AD8:AD12)),"")</f>
        <v>1</v>
      </c>
      <c r="AB4" s="59">
        <f t="shared" ref="AB4:AB9" si="11">+AA4*V4</f>
        <v>0.05</v>
      </c>
      <c r="AC4" s="59">
        <f t="shared" si="4"/>
        <v>0.91177059999999999</v>
      </c>
      <c r="AE4" s="53" t="str">
        <f>Proyectos!$B2</f>
        <v>PY.2 Creación de nueva oferta académica en las Sedes</v>
      </c>
      <c r="AF4" s="72">
        <f>SUMIFS(Plan!$Z$3:$Z$118,Plan!$A$3:$A$118,Plan!$A127)</f>
        <v>0</v>
      </c>
      <c r="AG4" s="72">
        <f>SUMIFS(Plan!$AA$3:$AA$118,Plan!$A$3:$A$118,Plan!$A127)</f>
        <v>0</v>
      </c>
      <c r="AH4" s="72">
        <f t="shared" ref="AH4:AH9" si="12">AF4-AG4</f>
        <v>0</v>
      </c>
      <c r="AI4" s="59" t="str">
        <f t="shared" ref="AI4:AI9" si="13">IFERROR((AG4/AF4),"")</f>
        <v/>
      </c>
      <c r="AJ4" s="59">
        <f>Cumplimiento!AR4</f>
        <v>0.2</v>
      </c>
      <c r="AK4" s="59">
        <f t="shared" ref="AK4:AK9" si="14">IFERROR(((AI4+AJ4)/2),0)</f>
        <v>0</v>
      </c>
    </row>
    <row r="5" spans="1:37" x14ac:dyDescent="0.25">
      <c r="A5" s="53" t="str">
        <f>Proyectos!$B3</f>
        <v>PY.3  Desarrollo profesoral permanente en lo pedagógico, disciplinar y profesional</v>
      </c>
      <c r="B5" s="194">
        <v>0.25</v>
      </c>
      <c r="C5" s="72">
        <f>SUMIFS(Plan!$G$3:$G$118,Plan!$A$3:$A$118,Plan!$A128)</f>
        <v>175822537.25</v>
      </c>
      <c r="D5" s="72">
        <f>SUMIFS(Plan!$H$3:$H$118,Plan!$A$3:$A$118,Plan!$A128)</f>
        <v>121777809.19999999</v>
      </c>
      <c r="E5" s="72">
        <f t="shared" si="5"/>
        <v>54044728.050000012</v>
      </c>
      <c r="F5" s="59">
        <f t="shared" si="0"/>
        <v>0.69261774460031567</v>
      </c>
      <c r="G5" s="59">
        <f>IFERROR((AVERAGE(Metas!R13:R17)),"")</f>
        <v>1</v>
      </c>
      <c r="H5" s="59">
        <f t="shared" si="1"/>
        <v>0.25</v>
      </c>
      <c r="I5" s="59">
        <f t="shared" si="6"/>
        <v>0.84630887230015783</v>
      </c>
      <c r="K5" s="53" t="str">
        <f>Proyectos!$B3</f>
        <v>PY.3  Desarrollo profesoral permanente en lo pedagógico, disciplinar y profesional</v>
      </c>
      <c r="L5" s="194">
        <v>0.25</v>
      </c>
      <c r="M5" s="72">
        <f>SUMIFS(Plan!$N$3:$N$118,Plan!$A$3:$A$118,Plan!$A128)</f>
        <v>272278698.5</v>
      </c>
      <c r="N5" s="72">
        <f>SUMIFS(Plan!$O$3:$O$118,Plan!$A$3:$A$118,Plan!$A128)</f>
        <v>214068915.09999999</v>
      </c>
      <c r="O5" s="72">
        <f t="shared" si="7"/>
        <v>58209783.400000006</v>
      </c>
      <c r="P5" s="59">
        <f t="shared" si="2"/>
        <v>0.78621249579683883</v>
      </c>
      <c r="Q5" s="59">
        <v>0.96799999999999997</v>
      </c>
      <c r="R5" s="59">
        <f t="shared" si="8"/>
        <v>0.24199999999999999</v>
      </c>
      <c r="S5" s="59">
        <f t="shared" si="9"/>
        <v>0.8771062478984194</v>
      </c>
      <c r="U5" s="53" t="str">
        <f>Proyectos!$B3</f>
        <v>PY.3  Desarrollo profesoral permanente en lo pedagógico, disciplinar y profesional</v>
      </c>
      <c r="V5" s="194">
        <v>0.25</v>
      </c>
      <c r="W5" s="72">
        <f>SUMIFS(Plan!$U$3:$U$118,Plan!$A$3:$A$118,Plan!$A128)</f>
        <v>430245748.75</v>
      </c>
      <c r="X5" s="72">
        <f>SUMIFS(Plan!$V$3:$V$118,Plan!$A$3:$A$118,Plan!$A128)</f>
        <v>366301138</v>
      </c>
      <c r="Y5" s="72">
        <f t="shared" si="10"/>
        <v>63944610.75</v>
      </c>
      <c r="Z5" s="59">
        <f t="shared" si="3"/>
        <v>0.85137654250906758</v>
      </c>
      <c r="AA5" s="59">
        <f>IFERROR((AVERAGE(Metas!AD13:AD17)),"")</f>
        <v>1</v>
      </c>
      <c r="AB5" s="59">
        <f t="shared" si="11"/>
        <v>0.25</v>
      </c>
      <c r="AC5" s="59">
        <f t="shared" si="4"/>
        <v>0.92568827125453379</v>
      </c>
      <c r="AE5" s="53" t="str">
        <f>Proyectos!$B3</f>
        <v>PY.3  Desarrollo profesoral permanente en lo pedagógico, disciplinar y profesional</v>
      </c>
      <c r="AF5" s="72">
        <f>SUMIFS(Plan!$Z$3:$Z$118,Plan!$A$3:$A$118,Plan!$A128)</f>
        <v>0</v>
      </c>
      <c r="AG5" s="72">
        <f>SUMIFS(Plan!$AA$3:$AA$118,Plan!$A$3:$A$118,Plan!$A128)</f>
        <v>0</v>
      </c>
      <c r="AH5" s="72">
        <f t="shared" si="12"/>
        <v>0</v>
      </c>
      <c r="AI5" s="59" t="str">
        <f t="shared" si="13"/>
        <v/>
      </c>
      <c r="AJ5" s="59">
        <f>Cumplimiento!AR5</f>
        <v>1</v>
      </c>
      <c r="AK5" s="59">
        <f t="shared" si="14"/>
        <v>0</v>
      </c>
    </row>
    <row r="6" spans="1:37" x14ac:dyDescent="0.25">
      <c r="A6" s="53" t="str">
        <f>Proyectos!$B4</f>
        <v>PY.4 Autoevaluación permanente  de programas de pregrado y postgrado</v>
      </c>
      <c r="B6" s="194">
        <v>0.2</v>
      </c>
      <c r="C6" s="72">
        <f>SUMIFS(Plan!$G$3:$G$118,Plan!$A$3:$A$118,Plan!$A129)</f>
        <v>256292819.25</v>
      </c>
      <c r="D6" s="72">
        <f>SUMIFS(Plan!$H$3:$H$118,Plan!$A$3:$A$118,Plan!$A129)</f>
        <v>241272121.39999998</v>
      </c>
      <c r="E6" s="72">
        <f t="shared" si="5"/>
        <v>15020697.850000024</v>
      </c>
      <c r="F6" s="59">
        <f t="shared" si="0"/>
        <v>0.94139243583196874</v>
      </c>
      <c r="G6" s="59">
        <f>IFERROR((AVERAGE(Metas!R18:R26)),"")</f>
        <v>1</v>
      </c>
      <c r="H6" s="59">
        <f t="shared" si="1"/>
        <v>0.2</v>
      </c>
      <c r="I6" s="59">
        <f t="shared" si="6"/>
        <v>0.97069621791598437</v>
      </c>
      <c r="K6" s="53" t="str">
        <f>Proyectos!$B4</f>
        <v>PY.4 Autoevaluación permanente  de programas de pregrado y postgrado</v>
      </c>
      <c r="L6" s="194">
        <v>0.2</v>
      </c>
      <c r="M6" s="72">
        <f>SUMIFS(Plan!$N$3:$N$118,Plan!$A$3:$A$118,Plan!$A129)</f>
        <v>345902211.5</v>
      </c>
      <c r="N6" s="72">
        <f>SUMIFS(Plan!$O$3:$O$118,Plan!$A$3:$A$118,Plan!$A129)</f>
        <v>312872345.30000007</v>
      </c>
      <c r="O6" s="72">
        <f t="shared" si="7"/>
        <v>33029866.199999928</v>
      </c>
      <c r="P6" s="59">
        <f t="shared" si="2"/>
        <v>0.90451097130380753</v>
      </c>
      <c r="Q6" s="59">
        <f>IFERROR((AVERAGE(Metas!X18:X26)),"")</f>
        <v>1</v>
      </c>
      <c r="R6" s="59">
        <f t="shared" si="8"/>
        <v>0.2</v>
      </c>
      <c r="S6" s="59">
        <f t="shared" si="9"/>
        <v>0.95225548565190377</v>
      </c>
      <c r="U6" s="53" t="str">
        <f>Proyectos!$B4</f>
        <v>PY.4 Autoevaluación permanente  de programas de pregrado y postgrado</v>
      </c>
      <c r="V6" s="194">
        <v>0.2</v>
      </c>
      <c r="W6" s="72">
        <f>SUMIFS(Plan!$U$3:$U$118,Plan!$A$3:$A$118,Plan!$A129)</f>
        <v>480717379.75</v>
      </c>
      <c r="X6" s="72">
        <f>SUMIFS(Plan!$V$3:$V$118,Plan!$A$3:$A$118,Plan!$A129)</f>
        <v>464391296</v>
      </c>
      <c r="Y6" s="72">
        <f t="shared" si="10"/>
        <v>16326083.75</v>
      </c>
      <c r="Z6" s="59">
        <f t="shared" si="3"/>
        <v>0.96603808300317651</v>
      </c>
      <c r="AA6" s="59">
        <f>IFERROR((AVERAGE(Metas!AD18:AD26)),"")</f>
        <v>1</v>
      </c>
      <c r="AB6" s="59">
        <f t="shared" si="11"/>
        <v>0.2</v>
      </c>
      <c r="AC6" s="59">
        <f t="shared" si="4"/>
        <v>0.98301904150158825</v>
      </c>
      <c r="AE6" s="53" t="str">
        <f>Proyectos!$B4</f>
        <v>PY.4 Autoevaluación permanente  de programas de pregrado y postgrado</v>
      </c>
      <c r="AF6" s="72">
        <f>SUMIFS(Plan!$Z$3:$Z$118,Plan!$A$3:$A$118,Plan!$A129)</f>
        <v>0</v>
      </c>
      <c r="AG6" s="72">
        <f>SUMIFS(Plan!$AA$3:$AA$118,Plan!$A$3:$A$118,Plan!$A129)</f>
        <v>0</v>
      </c>
      <c r="AH6" s="72">
        <f t="shared" si="12"/>
        <v>0</v>
      </c>
      <c r="AI6" s="59" t="str">
        <f t="shared" si="13"/>
        <v/>
      </c>
      <c r="AJ6" s="59">
        <f>Cumplimiento!AR6</f>
        <v>0.99999999999999989</v>
      </c>
      <c r="AK6" s="59">
        <f t="shared" si="14"/>
        <v>0</v>
      </c>
    </row>
    <row r="7" spans="1:37" x14ac:dyDescent="0.25">
      <c r="A7" s="53" t="str">
        <f>Proyectos!$B5</f>
        <v>PY.5 Acreditación de alta calidad de la Universidad</v>
      </c>
      <c r="B7" s="194">
        <v>0.2</v>
      </c>
      <c r="C7" s="72">
        <f>SUMIFS(Plan!$G$3:$G$118,Plan!$A$3:$A$118,Plan!$A130)</f>
        <v>47544748</v>
      </c>
      <c r="D7" s="72">
        <f>SUMIFS(Plan!$H$3:$H$118,Plan!$A$3:$A$118,Plan!$A130)</f>
        <v>47544748</v>
      </c>
      <c r="E7" s="72">
        <f t="shared" si="5"/>
        <v>0</v>
      </c>
      <c r="F7" s="59">
        <f t="shared" si="0"/>
        <v>1</v>
      </c>
      <c r="G7" s="59">
        <f>IFERROR((AVERAGE(Metas!R27:R27)),"")</f>
        <v>1</v>
      </c>
      <c r="H7" s="59">
        <f t="shared" si="1"/>
        <v>0.2</v>
      </c>
      <c r="I7" s="59">
        <f t="shared" si="6"/>
        <v>1</v>
      </c>
      <c r="K7" s="53" t="str">
        <f>Proyectos!$B5</f>
        <v>PY.5 Acreditación de alta calidad de la Universidad</v>
      </c>
      <c r="L7" s="194">
        <v>0.2</v>
      </c>
      <c r="M7" s="72">
        <f>SUMIFS(Plan!$N$3:$N$118,Plan!$A$3:$A$118,Plan!$A130)</f>
        <v>57708333.5</v>
      </c>
      <c r="N7" s="72">
        <f>SUMIFS(Plan!$O$3:$O$118,Plan!$A$3:$A$118,Plan!$A130)</f>
        <v>47544748</v>
      </c>
      <c r="O7" s="72">
        <f t="shared" si="7"/>
        <v>10163585.5</v>
      </c>
      <c r="P7" s="59">
        <f t="shared" si="2"/>
        <v>0.82388010736785533</v>
      </c>
      <c r="Q7" s="59">
        <f>IFERROR((AVERAGE(Metas!X27:X27)),"")</f>
        <v>1</v>
      </c>
      <c r="R7" s="59">
        <f t="shared" si="8"/>
        <v>0.2</v>
      </c>
      <c r="S7" s="59">
        <f t="shared" si="9"/>
        <v>0.91194005368392772</v>
      </c>
      <c r="U7" s="53" t="str">
        <f>Proyectos!$B5</f>
        <v>PY.5 Acreditación de alta calidad de la Universidad</v>
      </c>
      <c r="V7" s="194">
        <v>0.2</v>
      </c>
      <c r="W7" s="72">
        <f>SUMIFS(Plan!$U$3:$U$118,Plan!$A$3:$A$118,Plan!$A130)</f>
        <v>110337633</v>
      </c>
      <c r="X7" s="72">
        <f>SUMIFS(Plan!$V$3:$V$118,Plan!$A$3:$A$118,Plan!$A130)</f>
        <v>110337633</v>
      </c>
      <c r="Y7" s="72">
        <f t="shared" si="10"/>
        <v>0</v>
      </c>
      <c r="Z7" s="59">
        <f t="shared" si="3"/>
        <v>1</v>
      </c>
      <c r="AA7" s="59">
        <f>IFERROR((AVERAGE(Metas!AD27:AD27)),"")</f>
        <v>1</v>
      </c>
      <c r="AB7" s="59">
        <f t="shared" si="11"/>
        <v>0.2</v>
      </c>
      <c r="AC7" s="59">
        <f t="shared" si="4"/>
        <v>1</v>
      </c>
      <c r="AE7" s="53" t="str">
        <f>Proyectos!$B5</f>
        <v>PY.5 Acreditación de alta calidad de la Universidad</v>
      </c>
      <c r="AF7" s="72">
        <f>SUMIFS(Plan!$Z$3:$Z$118,Plan!$A$3:$A$118,Plan!$A130)</f>
        <v>0</v>
      </c>
      <c r="AG7" s="72">
        <f>SUMIFS(Plan!$AA$3:$AA$118,Plan!$A$3:$A$118,Plan!$A130)</f>
        <v>0</v>
      </c>
      <c r="AH7" s="72">
        <f t="shared" si="12"/>
        <v>0</v>
      </c>
      <c r="AI7" s="59" t="str">
        <f t="shared" si="13"/>
        <v/>
      </c>
      <c r="AJ7" s="59">
        <f>Cumplimiento!AR7</f>
        <v>1</v>
      </c>
      <c r="AK7" s="59">
        <f t="shared" si="14"/>
        <v>0</v>
      </c>
    </row>
    <row r="8" spans="1:37" x14ac:dyDescent="0.25">
      <c r="A8" s="53" t="str">
        <f>Proyectos!$B6</f>
        <v>PY.6 Relevo generacional con excelencia académica</v>
      </c>
      <c r="B8" s="194">
        <v>0.05</v>
      </c>
      <c r="C8" s="72">
        <f>SUMIFS(Plan!$G$3:$G$118,Plan!$A$3:$A$118,Plan!$A131)</f>
        <v>11125000</v>
      </c>
      <c r="D8" s="72">
        <f>SUMIFS(Plan!$H$3:$H$118,Plan!$A$3:$A$118,Plan!$A131)</f>
        <v>8593662.1999999993</v>
      </c>
      <c r="E8" s="72">
        <f t="shared" si="5"/>
        <v>2531337.8000000007</v>
      </c>
      <c r="F8" s="59">
        <f t="shared" si="0"/>
        <v>0.77246401797752806</v>
      </c>
      <c r="G8" s="59">
        <f>IFERROR((AVERAGE(Metas!R28:R30)),"")</f>
        <v>1</v>
      </c>
      <c r="H8" s="59">
        <f t="shared" si="1"/>
        <v>0.05</v>
      </c>
      <c r="I8" s="59">
        <f t="shared" si="6"/>
        <v>0.88623200898876409</v>
      </c>
      <c r="K8" s="53" t="str">
        <f>Proyectos!$B6</f>
        <v>PY.6 Relevo generacional con excelencia académica</v>
      </c>
      <c r="L8" s="194">
        <v>0.05</v>
      </c>
      <c r="M8" s="72">
        <f>SUMIFS(Plan!$N$3:$N$118,Plan!$A$3:$A$118,Plan!$A131)</f>
        <v>31275493</v>
      </c>
      <c r="N8" s="72">
        <f>SUMIFS(Plan!$O$3:$O$118,Plan!$A$3:$A$118,Plan!$A131)</f>
        <v>29275493.199999999</v>
      </c>
      <c r="O8" s="72">
        <f t="shared" si="7"/>
        <v>1999999.8000000007</v>
      </c>
      <c r="P8" s="59">
        <f>IFERROR((N8/M8),"")</f>
        <v>0.93605217350210912</v>
      </c>
      <c r="Q8" s="59">
        <f>IFERROR((AVERAGE(Metas!X28:X30)),"")</f>
        <v>1</v>
      </c>
      <c r="R8" s="59">
        <f t="shared" si="8"/>
        <v>0.05</v>
      </c>
      <c r="S8" s="59">
        <f t="shared" si="9"/>
        <v>0.96802608675105462</v>
      </c>
      <c r="U8" s="53" t="str">
        <f>Proyectos!$B6</f>
        <v>PY.6 Relevo generacional con excelencia académica</v>
      </c>
      <c r="V8" s="194">
        <v>0.05</v>
      </c>
      <c r="W8" s="72">
        <f>SUMIFS(Plan!$U$3:$U$118,Plan!$A$3:$A$118,Plan!$A131)</f>
        <v>41650397</v>
      </c>
      <c r="X8" s="72">
        <f>SUMIFS(Plan!$V$3:$V$118,Plan!$A$3:$A$118,Plan!$A131)</f>
        <v>38650397</v>
      </c>
      <c r="Y8" s="72">
        <f t="shared" si="10"/>
        <v>3000000</v>
      </c>
      <c r="Z8" s="59">
        <f t="shared" si="3"/>
        <v>0.92797187503398826</v>
      </c>
      <c r="AA8" s="59">
        <f>IFERROR((AVERAGE(Metas!AD28:AD30)),"")</f>
        <v>1</v>
      </c>
      <c r="AB8" s="59">
        <f t="shared" si="11"/>
        <v>0.05</v>
      </c>
      <c r="AC8" s="59">
        <f t="shared" si="4"/>
        <v>0.96398593751699413</v>
      </c>
      <c r="AE8" s="53" t="str">
        <f>Proyectos!$B6</f>
        <v>PY.6 Relevo generacional con excelencia académica</v>
      </c>
      <c r="AF8" s="72">
        <f>SUMIFS(Plan!$Z$3:$Z$118,Plan!$A$3:$A$118,Plan!$A131)</f>
        <v>0</v>
      </c>
      <c r="AG8" s="72">
        <f>SUMIFS(Plan!$AA$3:$AA$118,Plan!$A$3:$A$118,Plan!$A131)</f>
        <v>0</v>
      </c>
      <c r="AH8" s="72">
        <f t="shared" si="12"/>
        <v>0</v>
      </c>
      <c r="AI8" s="59" t="str">
        <f t="shared" si="13"/>
        <v/>
      </c>
      <c r="AJ8" s="59">
        <f>Cumplimiento!AR8</f>
        <v>1</v>
      </c>
      <c r="AK8" s="59">
        <f t="shared" si="14"/>
        <v>0</v>
      </c>
    </row>
    <row r="9" spans="1:37" x14ac:dyDescent="0.25">
      <c r="A9" s="53" t="str">
        <f>Proyectos!$B7</f>
        <v>PY.7 Fortalecimiento de los Vínculos Universidad - Egresados.</v>
      </c>
      <c r="B9" s="194">
        <v>0.05</v>
      </c>
      <c r="C9" s="72">
        <f>SUMIFS(Plan!$G$3:$G$118,Plan!$A$3:$A$118,Plan!$A132)</f>
        <v>35206130</v>
      </c>
      <c r="D9" s="72">
        <f>SUMIFS(Plan!$H$3:$H$118,Plan!$A$3:$A$118,Plan!$A132)</f>
        <v>25215235.100000001</v>
      </c>
      <c r="E9" s="72">
        <f t="shared" si="5"/>
        <v>9990894.8999999985</v>
      </c>
      <c r="F9" s="59">
        <f t="shared" si="0"/>
        <v>0.71621717865610335</v>
      </c>
      <c r="G9" s="59">
        <f>IFERROR((AVERAGE(Metas!R31:R33)),"")</f>
        <v>1</v>
      </c>
      <c r="H9" s="59">
        <f t="shared" ref="H9" si="15">+G9*B9</f>
        <v>0.05</v>
      </c>
      <c r="I9" s="59">
        <f t="shared" si="6"/>
        <v>0.85810858932805167</v>
      </c>
      <c r="K9" s="53" t="str">
        <f>Proyectos!$B7</f>
        <v>PY.7 Fortalecimiento de los Vínculos Universidad - Egresados.</v>
      </c>
      <c r="L9" s="194">
        <v>0.05</v>
      </c>
      <c r="M9" s="72">
        <f>SUMIFS(Plan!$N$3:$N$118,Plan!$A$3:$A$118,Plan!$A132)</f>
        <v>37000000</v>
      </c>
      <c r="N9" s="72">
        <f>SUMIFS(Plan!$O$3:$O$118,Plan!$A$3:$A$118,Plan!$A132)</f>
        <v>31796514</v>
      </c>
      <c r="O9" s="72">
        <f t="shared" si="7"/>
        <v>5203486</v>
      </c>
      <c r="P9" s="59">
        <f t="shared" si="2"/>
        <v>0.85936524324324326</v>
      </c>
      <c r="Q9" s="59">
        <f>IFERROR((AVERAGE(Metas!X31:X33)),"")</f>
        <v>1</v>
      </c>
      <c r="R9" s="59">
        <f>+Q9*L9</f>
        <v>0.05</v>
      </c>
      <c r="S9" s="59">
        <f t="shared" si="9"/>
        <v>0.92968262162162163</v>
      </c>
      <c r="U9" s="53" t="str">
        <f>Proyectos!$B7</f>
        <v>PY.7 Fortalecimiento de los Vínculos Universidad - Egresados.</v>
      </c>
      <c r="V9" s="194">
        <v>0.05</v>
      </c>
      <c r="W9" s="72">
        <f>SUMIFS(Plan!$U$3:$U$118,Plan!$A$3:$A$118,Plan!$A132)</f>
        <v>79763440</v>
      </c>
      <c r="X9" s="72">
        <f>SUMIFS(Plan!$V$3:$V$118,Plan!$A$3:$A$118,Plan!$A132)</f>
        <v>57825990</v>
      </c>
      <c r="Y9" s="72">
        <f t="shared" si="10"/>
        <v>21937450</v>
      </c>
      <c r="Z9" s="59">
        <f t="shared" si="3"/>
        <v>0.72496860717140588</v>
      </c>
      <c r="AA9" s="59">
        <f>IFERROR((AVERAGE(Metas!AD31:AD33)),"")</f>
        <v>1</v>
      </c>
      <c r="AB9" s="59">
        <f t="shared" si="11"/>
        <v>0.05</v>
      </c>
      <c r="AC9" s="59">
        <f t="shared" si="4"/>
        <v>0.86248430358570294</v>
      </c>
      <c r="AE9" s="53" t="str">
        <f>Proyectos!$B7</f>
        <v>PY.7 Fortalecimiento de los Vínculos Universidad - Egresados.</v>
      </c>
      <c r="AF9" s="72">
        <f>SUMIFS(Plan!$Z$3:$Z$118,Plan!$A$3:$A$118,Plan!$A132)</f>
        <v>0</v>
      </c>
      <c r="AG9" s="72">
        <f>SUMIFS(Plan!$AA$3:$AA$118,Plan!$A$3:$A$118,Plan!$A132)</f>
        <v>0</v>
      </c>
      <c r="AH9" s="72">
        <f t="shared" si="12"/>
        <v>0</v>
      </c>
      <c r="AI9" s="59" t="str">
        <f t="shared" si="13"/>
        <v/>
      </c>
      <c r="AJ9" s="59">
        <f>Cumplimiento!AR9</f>
        <v>1</v>
      </c>
      <c r="AK9" s="59">
        <f t="shared" si="14"/>
        <v>0</v>
      </c>
    </row>
    <row r="10" spans="1:37" x14ac:dyDescent="0.25">
      <c r="A10" s="86" t="s">
        <v>195</v>
      </c>
      <c r="B10" s="195">
        <f>SUM(B3:B9)</f>
        <v>1</v>
      </c>
      <c r="C10" s="90">
        <f>SUM(C3:C9)</f>
        <v>588822436.5</v>
      </c>
      <c r="D10" s="90">
        <f>SUM(D3:D9)</f>
        <v>488077870.09999996</v>
      </c>
      <c r="E10" s="90">
        <f>SUM(E3:E9)</f>
        <v>100744566.40000004</v>
      </c>
      <c r="F10" s="59">
        <f>D10/C10</f>
        <v>0.8289050142198513</v>
      </c>
      <c r="G10" s="59">
        <f>IFERROR((AVERAGE(G3:G9)),"")</f>
        <v>1</v>
      </c>
      <c r="H10" s="59">
        <f>SUM(H3:H9)</f>
        <v>1</v>
      </c>
      <c r="I10" s="59">
        <f>+(F10+H10)/2</f>
        <v>0.91445250710992565</v>
      </c>
      <c r="K10" s="71" t="s">
        <v>195</v>
      </c>
      <c r="L10" s="195">
        <f>SUM(L3:L9)</f>
        <v>1</v>
      </c>
      <c r="M10" s="73">
        <f>SUM(M3:M9)</f>
        <v>834507963.5</v>
      </c>
      <c r="N10" s="73">
        <f t="shared" ref="N10" si="16">SUM(N3:N9)</f>
        <v>706425464.80000019</v>
      </c>
      <c r="O10" s="73">
        <f t="shared" ref="O10" si="17">SUM(O3:O9)</f>
        <v>128082498.69999993</v>
      </c>
      <c r="P10" s="59">
        <f t="shared" si="2"/>
        <v>0.84651734398937251</v>
      </c>
      <c r="Q10" s="59">
        <f>IFERROR((AVERAGE(Q3:Q9)),"")</f>
        <v>0.99028571428571432</v>
      </c>
      <c r="R10" s="59">
        <f>SUM(R3:R9)</f>
        <v>0.98480000000000012</v>
      </c>
      <c r="S10" s="59">
        <f>+(R10+P10)/2</f>
        <v>0.91565867199468631</v>
      </c>
      <c r="U10" s="71" t="s">
        <v>195</v>
      </c>
      <c r="V10" s="195">
        <f>SUM(V3:V9)</f>
        <v>1</v>
      </c>
      <c r="W10" s="73">
        <f>SUM(W3:W9)</f>
        <v>1300007304.75</v>
      </c>
      <c r="X10" s="73">
        <f>SUM(X3:X9)</f>
        <v>1149922563</v>
      </c>
      <c r="Y10" s="73">
        <f t="shared" ref="Y10" si="18">SUM(Y3:Y9)</f>
        <v>150084741.75</v>
      </c>
      <c r="Z10" s="59">
        <f>IFERROR((X10/W10),"")</f>
        <v>0.88455084736707512</v>
      </c>
      <c r="AA10" s="59">
        <f>IFERROR((AVERAGE(AA3:AA9)),"")</f>
        <v>1</v>
      </c>
      <c r="AB10" s="59">
        <f>SUM(AB3:AB9)</f>
        <v>1</v>
      </c>
      <c r="AC10" s="59">
        <f>IFERROR(((Z10+AA10)/2),0)</f>
        <v>0.94227542368353756</v>
      </c>
      <c r="AE10" s="71" t="s">
        <v>195</v>
      </c>
      <c r="AF10" s="73">
        <f>SUM(AF3:AF9)</f>
        <v>0</v>
      </c>
      <c r="AG10" s="73">
        <f t="shared" ref="AG10" si="19">SUM(AG3:AG9)</f>
        <v>0</v>
      </c>
      <c r="AH10" s="73">
        <f t="shared" ref="AH10" si="20">SUM(AH3:AH9)</f>
        <v>0</v>
      </c>
      <c r="AI10" s="74" t="str">
        <f>IFERROR((AVERAGE(AI3:AI9)),"")</f>
        <v/>
      </c>
      <c r="AJ10" s="74">
        <f>IFERROR((AVERAGE(AJ3:AJ9)),"")</f>
        <v>0.8571428571428571</v>
      </c>
      <c r="AK10" s="74">
        <f>IFERROR((AVERAGE(AK3:AK9)),"")</f>
        <v>0</v>
      </c>
    </row>
    <row r="13" spans="1:37" x14ac:dyDescent="0.25">
      <c r="A13" s="306" t="s">
        <v>502</v>
      </c>
      <c r="B13" s="306"/>
      <c r="C13" s="306"/>
      <c r="D13" s="306"/>
      <c r="E13" s="306"/>
      <c r="F13" s="306"/>
      <c r="G13" s="306"/>
      <c r="H13" s="306"/>
      <c r="I13" s="306"/>
      <c r="K13" s="307" t="s">
        <v>503</v>
      </c>
      <c r="L13" s="307"/>
      <c r="M13" s="307"/>
      <c r="N13" s="307"/>
      <c r="O13" s="307"/>
      <c r="P13" s="307"/>
      <c r="Q13" s="307"/>
      <c r="R13" s="307"/>
      <c r="S13" s="307"/>
      <c r="U13" s="308" t="s">
        <v>504</v>
      </c>
      <c r="V13" s="308"/>
      <c r="W13" s="308"/>
      <c r="X13" s="308"/>
      <c r="Y13" s="308"/>
      <c r="Z13" s="308"/>
      <c r="AA13" s="308"/>
      <c r="AB13" s="308"/>
      <c r="AC13" s="308"/>
      <c r="AE13" s="308" t="s">
        <v>505</v>
      </c>
      <c r="AF13" s="308"/>
      <c r="AG13" s="308"/>
      <c r="AH13" s="308"/>
      <c r="AI13" s="308"/>
      <c r="AJ13" s="308"/>
      <c r="AK13" s="308"/>
    </row>
    <row r="14" spans="1:37" ht="26.25" customHeight="1" x14ac:dyDescent="0.25">
      <c r="A14" s="86" t="s">
        <v>275</v>
      </c>
      <c r="B14" s="86" t="s">
        <v>819</v>
      </c>
      <c r="C14" s="86" t="s">
        <v>276</v>
      </c>
      <c r="D14" s="86" t="s">
        <v>277</v>
      </c>
      <c r="E14" s="86" t="s">
        <v>278</v>
      </c>
      <c r="F14" s="86" t="s">
        <v>274</v>
      </c>
      <c r="G14" s="86" t="s">
        <v>288</v>
      </c>
      <c r="H14" s="196" t="s">
        <v>820</v>
      </c>
      <c r="I14" s="86" t="s">
        <v>289</v>
      </c>
      <c r="K14" s="86" t="s">
        <v>275</v>
      </c>
      <c r="L14" s="86" t="s">
        <v>819</v>
      </c>
      <c r="M14" s="86" t="s">
        <v>276</v>
      </c>
      <c r="N14" s="86" t="s">
        <v>277</v>
      </c>
      <c r="O14" s="86" t="s">
        <v>278</v>
      </c>
      <c r="P14" s="86" t="s">
        <v>274</v>
      </c>
      <c r="Q14" s="86" t="s">
        <v>288</v>
      </c>
      <c r="R14" s="196" t="s">
        <v>820</v>
      </c>
      <c r="S14" s="86" t="s">
        <v>289</v>
      </c>
      <c r="U14" s="71" t="s">
        <v>275</v>
      </c>
      <c r="V14" s="86" t="s">
        <v>819</v>
      </c>
      <c r="W14" s="71" t="s">
        <v>276</v>
      </c>
      <c r="X14" s="71" t="s">
        <v>277</v>
      </c>
      <c r="Y14" s="71" t="s">
        <v>278</v>
      </c>
      <c r="Z14" s="71" t="s">
        <v>274</v>
      </c>
      <c r="AA14" s="71" t="s">
        <v>288</v>
      </c>
      <c r="AB14" s="196" t="s">
        <v>820</v>
      </c>
      <c r="AC14" s="71" t="s">
        <v>289</v>
      </c>
      <c r="AE14" s="71" t="s">
        <v>275</v>
      </c>
      <c r="AF14" s="71" t="s">
        <v>276</v>
      </c>
      <c r="AG14" s="71" t="s">
        <v>277</v>
      </c>
      <c r="AH14" s="71" t="s">
        <v>278</v>
      </c>
      <c r="AI14" s="71" t="s">
        <v>274</v>
      </c>
      <c r="AJ14" s="71" t="s">
        <v>288</v>
      </c>
      <c r="AK14" s="71" t="s">
        <v>289</v>
      </c>
    </row>
    <row r="15" spans="1:37" x14ac:dyDescent="0.25">
      <c r="A15" s="82" t="str">
        <f>Proyectos!B8</f>
        <v>PY.1 Fortalecimiento de las capacidades de investigación, desarrollo e innovación</v>
      </c>
      <c r="B15" s="194">
        <v>0.15</v>
      </c>
      <c r="C15" s="72">
        <f>SUMIFS(Plan!$G$3:$G$118,Plan!$A$3:$A$118,Plan!$B126)</f>
        <v>587232573</v>
      </c>
      <c r="D15" s="72">
        <f>SUMIFS(Plan!$H$3:$H$118,Plan!$A$3:$A$118,Plan!$B126)</f>
        <v>499752407</v>
      </c>
      <c r="E15" s="72">
        <f>C15-D15</f>
        <v>87480166</v>
      </c>
      <c r="F15" s="59">
        <f>IFERROR((D15/C15),"")</f>
        <v>0.85102977930347201</v>
      </c>
      <c r="G15" s="59">
        <f>IFERROR((AVERAGE(Metas!R34:R41)),"")</f>
        <v>0.85000000000000009</v>
      </c>
      <c r="H15" s="59">
        <f t="shared" ref="H15:H23" si="21">+G15*B15</f>
        <v>0.1275</v>
      </c>
      <c r="I15" s="59">
        <f>IFERROR(((F15+G15)/2),0)</f>
        <v>0.85051488965173605</v>
      </c>
      <c r="K15" s="83" t="str">
        <f>A15</f>
        <v>PY.1 Fortalecimiento de las capacidades de investigación, desarrollo e innovación</v>
      </c>
      <c r="L15" s="194">
        <v>0.15</v>
      </c>
      <c r="M15" s="72">
        <f>SUMIFS(Plan!$N$3:$N$118,Plan!$A$3:$A$118,Plan!$B126)</f>
        <v>835320245</v>
      </c>
      <c r="N15" s="72">
        <f>SUMIFS(Plan!$O$3:$O$118,Plan!$A$3:$A$118,Plan!$B126)</f>
        <v>558332882</v>
      </c>
      <c r="O15" s="72">
        <f>M15-N15</f>
        <v>276987363</v>
      </c>
      <c r="P15" s="59">
        <f>IFERROR((N15/M15),"")</f>
        <v>0.66840578250321225</v>
      </c>
      <c r="Q15" s="59">
        <v>0.94299999999999995</v>
      </c>
      <c r="R15" s="59">
        <f>+Q15*L15</f>
        <v>0.14144999999999999</v>
      </c>
      <c r="S15" s="59">
        <f t="shared" ref="S15:S23" si="22">IFERROR(((P15+Q15)/2),0)</f>
        <v>0.8057028912516061</v>
      </c>
      <c r="U15" s="83" t="str">
        <f>K15</f>
        <v>PY.1 Fortalecimiento de las capacidades de investigación, desarrollo e innovación</v>
      </c>
      <c r="V15" s="194">
        <v>0.15</v>
      </c>
      <c r="W15" s="72">
        <f>SUMIFS(Plan!$U$3:$U$118,Plan!$A$3:$A$118,Plan!$B126)</f>
        <v>1324389729.5</v>
      </c>
      <c r="X15" s="72">
        <f>SUMIFS(Plan!$V$3:$V$118,Plan!$A$3:$A$118,Plan!$B126)</f>
        <v>842847890</v>
      </c>
      <c r="Y15" s="72">
        <f>W15-X15</f>
        <v>481541839.5</v>
      </c>
      <c r="Z15" s="59">
        <f>IFERROR((X15/W15),"")</f>
        <v>0.63640473134611397</v>
      </c>
      <c r="AA15" s="59">
        <f>IFERROR((AVERAGE(Metas!AD34:AD41)),"")</f>
        <v>0.93333333333333335</v>
      </c>
      <c r="AB15" s="59">
        <f>+AA15*V15</f>
        <v>0.13999999999999999</v>
      </c>
      <c r="AC15" s="59">
        <f>IFERROR(((Z15+AA15)/2),0)</f>
        <v>0.7848690323397236</v>
      </c>
      <c r="AE15" s="83" t="str">
        <f>U15</f>
        <v>PY.1 Fortalecimiento de las capacidades de investigación, desarrollo e innovación</v>
      </c>
      <c r="AF15" s="72">
        <f>SUMIFS(Plan!$Z$3:$Z$118,Plan!$A$3:$A$118,Plan!$B126)</f>
        <v>0</v>
      </c>
      <c r="AG15" s="72">
        <f>SUMIFS(Plan!$AA$3:$AA$118,Plan!$A$3:$A$118,Plan!$B126)</f>
        <v>0</v>
      </c>
      <c r="AH15" s="72">
        <f>AF15-AG15</f>
        <v>0</v>
      </c>
      <c r="AI15" s="59" t="str">
        <f>IFERROR((AG15/AF15),"")</f>
        <v/>
      </c>
      <c r="AJ15" s="59">
        <f>Cumplimiento!AR10</f>
        <v>1.0000000000000002</v>
      </c>
      <c r="AK15" s="59">
        <f>IFERROR(((AI15+AJ15)/2),0)</f>
        <v>0</v>
      </c>
    </row>
    <row r="16" spans="1:37" x14ac:dyDescent="0.25">
      <c r="A16" s="82" t="str">
        <f>Proyectos!B9</f>
        <v>PY.2 Calidad Académica y formación en Investigación</v>
      </c>
      <c r="B16" s="194">
        <v>0.15</v>
      </c>
      <c r="C16" s="72">
        <f>SUMIFS(Plan!$G$3:$G$118,Plan!$A$3:$A$118,Plan!$B127)</f>
        <v>177874374.75</v>
      </c>
      <c r="D16" s="72">
        <f>SUMIFS(Plan!$H$3:$H$118,Plan!$A$3:$A$118,Plan!$B127)</f>
        <v>158133242.09999999</v>
      </c>
      <c r="E16" s="72">
        <f t="shared" ref="E16:E22" si="23">C16-D16</f>
        <v>19741132.650000006</v>
      </c>
      <c r="F16" s="59">
        <f t="shared" ref="F16:F23" si="24">IFERROR((D16/C16),"")</f>
        <v>0.88901643264947017</v>
      </c>
      <c r="G16" s="59">
        <f>IFERROR((AVERAGE(Metas!R42:R48)),"")</f>
        <v>0.81088435374149659</v>
      </c>
      <c r="H16" s="59">
        <f t="shared" si="21"/>
        <v>0.12163265306122448</v>
      </c>
      <c r="I16" s="59">
        <f t="shared" ref="I16:I23" si="25">IFERROR(((F16+G16)/2),0)</f>
        <v>0.84995039319548338</v>
      </c>
      <c r="K16" s="83" t="str">
        <f t="shared" ref="K16:K23" si="26">A16</f>
        <v>PY.2 Calidad Académica y formación en Investigación</v>
      </c>
      <c r="L16" s="194">
        <v>0.15</v>
      </c>
      <c r="M16" s="72">
        <f>SUMIFS(Plan!$N$3:$N$118,Plan!$A$3:$A$118,Plan!$B127)</f>
        <v>327535855.5</v>
      </c>
      <c r="N16" s="72">
        <f>SUMIFS(Plan!$O$3:$O$118,Plan!$A$3:$A$118,Plan!$B127)</f>
        <v>308609489.10000002</v>
      </c>
      <c r="O16" s="72">
        <f t="shared" ref="O16:O23" si="27">M16-N16</f>
        <v>18926366.399999976</v>
      </c>
      <c r="P16" s="59">
        <f>IFERROR((N16/M16),"")</f>
        <v>0.94221589458928723</v>
      </c>
      <c r="Q16" s="59">
        <f>IFERROR((AVERAGE(Metas!X42:X48)),"")</f>
        <v>0.82721088435374157</v>
      </c>
      <c r="R16" s="59">
        <f t="shared" ref="R16:R23" si="28">+Q16*L16</f>
        <v>0.12408163265306123</v>
      </c>
      <c r="S16" s="59">
        <f t="shared" si="22"/>
        <v>0.88471338947151446</v>
      </c>
      <c r="U16" s="83" t="str">
        <f t="shared" ref="U16:U23" si="29">K16</f>
        <v>PY.2 Calidad Académica y formación en Investigación</v>
      </c>
      <c r="V16" s="194">
        <v>0.15</v>
      </c>
      <c r="W16" s="72">
        <f>SUMIFS(Plan!$U$3:$U$118,Plan!$A$3:$A$118,Plan!$B127)</f>
        <v>544904488.60000002</v>
      </c>
      <c r="X16" s="72">
        <f>SUMIFS(Plan!$V$3:$V$118,Plan!$A$3:$A$118,Plan!$B127)</f>
        <v>445281651</v>
      </c>
      <c r="Y16" s="72">
        <f t="shared" ref="Y16:Y23" si="30">W16-X16</f>
        <v>99622837.600000024</v>
      </c>
      <c r="Z16" s="59">
        <f t="shared" ref="Z16:Z23" si="31">IFERROR((X16/W16),"")</f>
        <v>0.81717376222031723</v>
      </c>
      <c r="AA16" s="59">
        <f>IFERROR((AVERAGE(Metas!AD42:AD48)),"")</f>
        <v>0.70657596371882092</v>
      </c>
      <c r="AB16" s="59">
        <f t="shared" ref="AB16:AB23" si="32">+AA16*V16</f>
        <v>0.10598639455782313</v>
      </c>
      <c r="AC16" s="59">
        <f t="shared" ref="AC16:AC23" si="33">IFERROR(((Z16+AA16)/2),0)</f>
        <v>0.76187486296956908</v>
      </c>
      <c r="AE16" s="83" t="str">
        <f t="shared" ref="AE16:AE23" si="34">U16</f>
        <v>PY.2 Calidad Académica y formación en Investigación</v>
      </c>
      <c r="AF16" s="72">
        <f>SUMIFS(Plan!$Z$3:$Z$118,Plan!$A$3:$A$118,Plan!$B127)</f>
        <v>0</v>
      </c>
      <c r="AG16" s="72">
        <f>SUMIFS(Plan!$AA$3:$AA$118,Plan!$A$3:$A$118,Plan!$B127)</f>
        <v>0</v>
      </c>
      <c r="AH16" s="72">
        <f t="shared" ref="AH16:AH23" si="35">AF16-AG16</f>
        <v>0</v>
      </c>
      <c r="AI16" s="59" t="str">
        <f t="shared" ref="AI16:AI23" si="36">IFERROR((AG16/AF16),"")</f>
        <v/>
      </c>
      <c r="AJ16" s="59">
        <f>Cumplimiento!AR11</f>
        <v>0.85714285714285721</v>
      </c>
      <c r="AK16" s="59">
        <f t="shared" ref="AK16:AK23" si="37">IFERROR(((AI16+AJ16)/2),0)</f>
        <v>0</v>
      </c>
    </row>
    <row r="17" spans="1:37" x14ac:dyDescent="0.25">
      <c r="A17" s="82" t="str">
        <f>Proyectos!B10</f>
        <v>PY.3 Calidad Académica y formación a través de la Investigación</v>
      </c>
      <c r="B17" s="194">
        <v>0.1</v>
      </c>
      <c r="C17" s="72">
        <f>SUMIFS(Plan!$G$3:$G$118,Plan!$A$3:$A$118,Plan!$B128)</f>
        <v>125936043.5</v>
      </c>
      <c r="D17" s="72">
        <f>SUMIFS(Plan!$H$3:$H$118,Plan!$A$3:$A$118,Plan!$B128)</f>
        <v>20454945.100000001</v>
      </c>
      <c r="E17" s="72">
        <f t="shared" si="23"/>
        <v>105481098.40000001</v>
      </c>
      <c r="F17" s="59">
        <f>IFERROR((D17/C17),"")</f>
        <v>0.16242327876530441</v>
      </c>
      <c r="G17" s="59">
        <f>IFERROR((AVERAGE(Metas!R49:R53)),"")</f>
        <v>0.56799999999999995</v>
      </c>
      <c r="H17" s="59">
        <f t="shared" si="21"/>
        <v>5.6799999999999996E-2</v>
      </c>
      <c r="I17" s="59">
        <f t="shared" si="25"/>
        <v>0.36521163938265216</v>
      </c>
      <c r="K17" s="83" t="str">
        <f t="shared" si="26"/>
        <v>PY.3 Calidad Académica y formación a través de la Investigación</v>
      </c>
      <c r="L17" s="194">
        <v>0.1</v>
      </c>
      <c r="M17" s="72">
        <f>SUMIFS(Plan!$N$3:$N$118,Plan!$A$3:$A$118,Plan!$B128)</f>
        <v>133744385</v>
      </c>
      <c r="N17" s="72">
        <f>SUMIFS(Plan!$O$3:$O$118,Plan!$A$3:$A$118,Plan!$B128)</f>
        <v>67006113.100000001</v>
      </c>
      <c r="O17" s="72">
        <f t="shared" si="27"/>
        <v>66738271.899999999</v>
      </c>
      <c r="P17" s="59">
        <f>IFERROR((N17/M17),"")</f>
        <v>0.50100131755063959</v>
      </c>
      <c r="Q17" s="59">
        <f>IFERROR((AVERAGE(Metas!X49:X53)),"")</f>
        <v>0.67733333333333334</v>
      </c>
      <c r="R17" s="59">
        <f t="shared" si="28"/>
        <v>6.773333333333334E-2</v>
      </c>
      <c r="S17" s="59">
        <f t="shared" si="22"/>
        <v>0.58916732544198647</v>
      </c>
      <c r="U17" s="83" t="str">
        <f t="shared" si="29"/>
        <v>PY.3 Calidad Académica y formación a través de la Investigación</v>
      </c>
      <c r="V17" s="194">
        <v>0.1</v>
      </c>
      <c r="W17" s="72">
        <f>SUMIFS(Plan!$U$3:$U$118,Plan!$A$3:$A$118,Plan!$B128)</f>
        <v>277617542.92500001</v>
      </c>
      <c r="X17" s="72">
        <f>SUMIFS(Plan!$V$3:$V$118,Plan!$A$3:$A$118,Plan!$B128)</f>
        <v>140019372</v>
      </c>
      <c r="Y17" s="72">
        <f t="shared" si="30"/>
        <v>137598170.92500001</v>
      </c>
      <c r="Z17" s="59">
        <f t="shared" si="31"/>
        <v>0.50436067737198809</v>
      </c>
      <c r="AA17" s="59">
        <f>IFERROR((AVERAGE(Metas!AD49:AD53)),"")</f>
        <v>0.59377777777777774</v>
      </c>
      <c r="AB17" s="59">
        <f>+AA17*V17</f>
        <v>5.9377777777777779E-2</v>
      </c>
      <c r="AC17" s="59">
        <f t="shared" si="33"/>
        <v>0.54906922757488297</v>
      </c>
      <c r="AE17" s="83" t="str">
        <f t="shared" si="34"/>
        <v>PY.3 Calidad Académica y formación a través de la Investigación</v>
      </c>
      <c r="AF17" s="72">
        <f>SUMIFS(Plan!$Z$3:$Z$118,Plan!$A$3:$A$118,Plan!$B128)</f>
        <v>0</v>
      </c>
      <c r="AG17" s="72">
        <f>SUMIFS(Plan!$AA$3:$AA$118,Plan!$A$3:$A$118,Plan!$B128)</f>
        <v>0</v>
      </c>
      <c r="AH17" s="72">
        <f t="shared" si="35"/>
        <v>0</v>
      </c>
      <c r="AI17" s="59" t="str">
        <f t="shared" si="36"/>
        <v/>
      </c>
      <c r="AJ17" s="59">
        <f>Cumplimiento!AR12</f>
        <v>1</v>
      </c>
      <c r="AK17" s="59">
        <f t="shared" si="37"/>
        <v>0</v>
      </c>
    </row>
    <row r="18" spans="1:37" x14ac:dyDescent="0.25">
      <c r="A18" s="82" t="str">
        <f>Proyectos!B11</f>
        <v>PY.4 Calidad Académica y ejecución de Investigación</v>
      </c>
      <c r="B18" s="194">
        <v>0.15</v>
      </c>
      <c r="C18" s="72">
        <f>SUMIFS(Plan!$G$3:$G$118,Plan!$A$3:$A$118,Plan!$B129)</f>
        <v>100008333.5</v>
      </c>
      <c r="D18" s="72">
        <f>SUMIFS(Plan!$H$3:$H$118,Plan!$A$3:$A$118,Plan!$B129)</f>
        <v>0.1</v>
      </c>
      <c r="E18" s="72">
        <f t="shared" si="23"/>
        <v>100008333.40000001</v>
      </c>
      <c r="F18" s="59">
        <f>IFERROR((D18/C18),"")</f>
        <v>9.9991667194414353E-10</v>
      </c>
      <c r="G18" s="59">
        <f>IFERROR((AVERAGE(Metas!R54:R54)),"")</f>
        <v>0.30769230769230771</v>
      </c>
      <c r="H18" s="59">
        <f t="shared" si="21"/>
        <v>4.6153846153846156E-2</v>
      </c>
      <c r="I18" s="59">
        <f t="shared" si="25"/>
        <v>0.15384615434611218</v>
      </c>
      <c r="K18" s="83" t="str">
        <f t="shared" si="26"/>
        <v>PY.4 Calidad Académica y ejecución de Investigación</v>
      </c>
      <c r="L18" s="194">
        <v>0.15</v>
      </c>
      <c r="M18" s="72">
        <f>SUMIFS(Plan!$N$3:$N$118,Plan!$A$3:$A$118,Plan!$B129)</f>
        <v>200016667</v>
      </c>
      <c r="N18" s="72">
        <f>SUMIFS(Plan!$O$3:$O$118,Plan!$A$3:$A$118,Plan!$B129)</f>
        <v>128908945</v>
      </c>
      <c r="O18" s="72">
        <f t="shared" si="27"/>
        <v>71107722</v>
      </c>
      <c r="P18" s="59">
        <f t="shared" ref="P18:P23" si="38">IFERROR((N18/M18),"")</f>
        <v>0.64449101634115324</v>
      </c>
      <c r="Q18" s="59">
        <f>IFERROR((AVERAGE(Metas!X54:X54)),"")</f>
        <v>0.5641025641025641</v>
      </c>
      <c r="R18" s="59">
        <f t="shared" si="28"/>
        <v>8.4615384615384606E-2</v>
      </c>
      <c r="S18" s="59">
        <f t="shared" si="22"/>
        <v>0.60429679022185867</v>
      </c>
      <c r="U18" s="83" t="str">
        <f t="shared" si="29"/>
        <v>PY.4 Calidad Académica y ejecución de Investigación</v>
      </c>
      <c r="V18" s="194">
        <v>0.15</v>
      </c>
      <c r="W18" s="72">
        <f>SUMIFS(Plan!$U$3:$U$118,Plan!$A$3:$A$118,Plan!$B129)</f>
        <v>300025000.5</v>
      </c>
      <c r="X18" s="72">
        <f>SUMIFS(Plan!$V$3:$V$118,Plan!$A$3:$A$118,Plan!$B129)</f>
        <v>200449803</v>
      </c>
      <c r="Y18" s="72">
        <f t="shared" si="30"/>
        <v>99575197.5</v>
      </c>
      <c r="Z18" s="59">
        <f t="shared" si="31"/>
        <v>0.66811033302539735</v>
      </c>
      <c r="AA18" s="59">
        <f>IFERROR((AVERAGE(Metas!AD54:AD54)),"")</f>
        <v>0.41025641025641024</v>
      </c>
      <c r="AB18" s="59">
        <f t="shared" si="32"/>
        <v>6.1538461538461535E-2</v>
      </c>
      <c r="AC18" s="59">
        <f t="shared" si="33"/>
        <v>0.5391833716409038</v>
      </c>
      <c r="AE18" s="83" t="str">
        <f t="shared" si="34"/>
        <v>PY.4 Calidad Académica y ejecución de Investigación</v>
      </c>
      <c r="AF18" s="72">
        <f>SUMIFS(Plan!$Z$3:$Z$118,Plan!$A$3:$A$118,Plan!$B129)</f>
        <v>0</v>
      </c>
      <c r="AG18" s="72">
        <f>SUMIFS(Plan!$AA$3:$AA$118,Plan!$A$3:$A$118,Plan!$B129)</f>
        <v>0</v>
      </c>
      <c r="AH18" s="72">
        <f t="shared" si="35"/>
        <v>0</v>
      </c>
      <c r="AI18" s="59" t="str">
        <f t="shared" si="36"/>
        <v/>
      </c>
      <c r="AJ18" s="59">
        <f>Cumplimiento!AR13</f>
        <v>1</v>
      </c>
      <c r="AK18" s="59">
        <f t="shared" si="37"/>
        <v>0</v>
      </c>
    </row>
    <row r="19" spans="1:37" x14ac:dyDescent="0.25">
      <c r="A19" s="82" t="str">
        <f>Proyectos!B12</f>
        <v xml:space="preserve">PY.5 Calidad Académica y gestión de Investigación </v>
      </c>
      <c r="B19" s="194">
        <v>0.1</v>
      </c>
      <c r="C19" s="72">
        <f>SUMIFS(Plan!$G$3:$G$118,Plan!$A$3:$A$118,Plan!$B130)</f>
        <v>1069806481.25</v>
      </c>
      <c r="D19" s="72">
        <f>SUMIFS(Plan!$H$3:$H$118,Plan!$A$3:$A$118,Plan!$B130)</f>
        <v>590269066</v>
      </c>
      <c r="E19" s="72">
        <f t="shared" si="23"/>
        <v>479537415.25</v>
      </c>
      <c r="F19" s="59">
        <f t="shared" si="24"/>
        <v>0.55175312203222826</v>
      </c>
      <c r="G19" s="59">
        <f>IFERROR((AVERAGE(Metas!R55:R56)),"")</f>
        <v>0.52</v>
      </c>
      <c r="H19" s="59">
        <f t="shared" si="21"/>
        <v>5.2000000000000005E-2</v>
      </c>
      <c r="I19" s="59">
        <f t="shared" si="25"/>
        <v>0.53587656101611414</v>
      </c>
      <c r="K19" s="83" t="str">
        <f t="shared" si="26"/>
        <v xml:space="preserve">PY.5 Calidad Académica y gestión de Investigación </v>
      </c>
      <c r="L19" s="194">
        <v>0.1</v>
      </c>
      <c r="M19" s="72">
        <f>SUMIFS(Plan!$N$3:$N$118,Plan!$A$3:$A$118,Plan!$B130)</f>
        <v>950000000</v>
      </c>
      <c r="N19" s="72">
        <f>SUMIFS(Plan!$O$3:$O$118,Plan!$A$3:$A$118,Plan!$B130)</f>
        <v>621327621</v>
      </c>
      <c r="O19" s="72">
        <f t="shared" si="27"/>
        <v>328672379</v>
      </c>
      <c r="P19" s="59">
        <f>IFERROR((N19/M19),"")</f>
        <v>0.65402907473684213</v>
      </c>
      <c r="Q19" s="59">
        <f>IFERROR((AVERAGE(Metas!X55:X56)),"")</f>
        <v>0.66666666666666663</v>
      </c>
      <c r="R19" s="59">
        <f t="shared" si="28"/>
        <v>6.6666666666666666E-2</v>
      </c>
      <c r="S19" s="59">
        <f t="shared" si="22"/>
        <v>0.66034787070175438</v>
      </c>
      <c r="U19" s="83" t="str">
        <f t="shared" si="29"/>
        <v xml:space="preserve">PY.5 Calidad Académica y gestión de Investigación </v>
      </c>
      <c r="V19" s="194">
        <v>0.1</v>
      </c>
      <c r="W19" s="72">
        <f>SUMIFS(Plan!$U$3:$U$118,Plan!$A$3:$A$118,Plan!$B130)</f>
        <v>1350651666.25</v>
      </c>
      <c r="X19" s="72">
        <f>SUMIFS(Plan!$V$3:$V$118,Plan!$A$3:$A$118,Plan!$B130)</f>
        <v>830229852</v>
      </c>
      <c r="Y19" s="72">
        <f t="shared" si="30"/>
        <v>520421814.25</v>
      </c>
      <c r="Z19" s="59">
        <f t="shared" si="31"/>
        <v>0.61468835581055581</v>
      </c>
      <c r="AA19" s="59">
        <f>IFERROR((AVERAGE(Metas!AD55:AD56)),"")</f>
        <v>0.61111111111111116</v>
      </c>
      <c r="AB19" s="59">
        <f t="shared" si="32"/>
        <v>6.1111111111111116E-2</v>
      </c>
      <c r="AC19" s="59">
        <f t="shared" si="33"/>
        <v>0.61289973346083348</v>
      </c>
      <c r="AE19" s="83" t="str">
        <f t="shared" si="34"/>
        <v xml:space="preserve">PY.5 Calidad Académica y gestión de Investigación </v>
      </c>
      <c r="AF19" s="72">
        <f>SUMIFS(Plan!$Z$3:$Z$118,Plan!$A$3:$A$118,Plan!$B130)</f>
        <v>0</v>
      </c>
      <c r="AG19" s="72">
        <f>SUMIFS(Plan!$AA$3:$AA$118,Plan!$A$3:$A$118,Plan!$B130)</f>
        <v>0</v>
      </c>
      <c r="AH19" s="72">
        <f t="shared" si="35"/>
        <v>0</v>
      </c>
      <c r="AI19" s="59" t="str">
        <f t="shared" si="36"/>
        <v/>
      </c>
      <c r="AJ19" s="59">
        <f>Cumplimiento!AR14</f>
        <v>1</v>
      </c>
      <c r="AK19" s="59">
        <f t="shared" si="37"/>
        <v>0</v>
      </c>
    </row>
    <row r="20" spans="1:37" x14ac:dyDescent="0.25">
      <c r="A20" s="82" t="str">
        <f>Proyectos!B13</f>
        <v>PY.6 Articulación del Sistema Integrado de Información (TICs)</v>
      </c>
      <c r="B20" s="194">
        <v>0.05</v>
      </c>
      <c r="C20" s="72">
        <f>SUMIFS(Plan!$G$3:$G$118,Plan!$A$3:$A$118,Plan!$B131)</f>
        <v>6250000</v>
      </c>
      <c r="D20" s="72">
        <f>SUMIFS(Plan!$H$3:$H$118,Plan!$A$3:$A$118,Plan!$B131)</f>
        <v>0.2</v>
      </c>
      <c r="E20" s="72">
        <f t="shared" si="23"/>
        <v>6249999.7999999998</v>
      </c>
      <c r="F20" s="59">
        <f t="shared" si="24"/>
        <v>3.2000000000000002E-8</v>
      </c>
      <c r="G20" s="59">
        <f>IFERROR((AVERAGE(Metas!R57:R58)),"")</f>
        <v>1</v>
      </c>
      <c r="H20" s="59">
        <f t="shared" si="21"/>
        <v>0.05</v>
      </c>
      <c r="I20" s="59">
        <f t="shared" si="25"/>
        <v>0.50000001599999999</v>
      </c>
      <c r="K20" s="83" t="str">
        <f t="shared" si="26"/>
        <v>PY.6 Articulación del Sistema Integrado de Información (TICs)</v>
      </c>
      <c r="L20" s="194">
        <v>0.05</v>
      </c>
      <c r="M20" s="72">
        <f>SUMIFS(Plan!$N$3:$N$118,Plan!$A$3:$A$118,Plan!$B131)</f>
        <v>12500000</v>
      </c>
      <c r="N20" s="72">
        <f>SUMIFS(Plan!$O$3:$O$118,Plan!$A$3:$A$118,Plan!$B131)</f>
        <v>0.2</v>
      </c>
      <c r="O20" s="72">
        <f t="shared" si="27"/>
        <v>12499999.800000001</v>
      </c>
      <c r="P20" s="59">
        <f>IFERROR((N20/M20),"")</f>
        <v>1.6000000000000001E-8</v>
      </c>
      <c r="Q20" s="59">
        <f>IFERROR((AVERAGE(Metas!X57:X58)),"")</f>
        <v>1</v>
      </c>
      <c r="R20" s="59">
        <f t="shared" si="28"/>
        <v>0.05</v>
      </c>
      <c r="S20" s="59">
        <f t="shared" si="22"/>
        <v>0.500000008</v>
      </c>
      <c r="U20" s="83" t="str">
        <f t="shared" si="29"/>
        <v>PY.6 Articulación del Sistema Integrado de Información (TICs)</v>
      </c>
      <c r="V20" s="194">
        <v>0.05</v>
      </c>
      <c r="W20" s="72">
        <f>SUMIFS(Plan!$U$3:$U$118,Plan!$A$3:$A$118,Plan!$B131)</f>
        <v>23900400</v>
      </c>
      <c r="X20" s="72">
        <f>SUMIFS(Plan!$V$3:$V$118,Plan!$A$3:$A$118,Plan!$B131)</f>
        <v>23900400</v>
      </c>
      <c r="Y20" s="72">
        <f t="shared" si="30"/>
        <v>0</v>
      </c>
      <c r="Z20" s="59">
        <f t="shared" si="31"/>
        <v>1</v>
      </c>
      <c r="AA20" s="59">
        <f>IFERROR((AVERAGE(Metas!AD57:AD58)),"")</f>
        <v>0.81111066666666676</v>
      </c>
      <c r="AB20" s="59">
        <f t="shared" si="32"/>
        <v>4.0555533333333338E-2</v>
      </c>
      <c r="AC20" s="59">
        <f t="shared" si="33"/>
        <v>0.90555533333333338</v>
      </c>
      <c r="AE20" s="83" t="str">
        <f t="shared" si="34"/>
        <v>PY.6 Articulación del Sistema Integrado de Información (TICs)</v>
      </c>
      <c r="AF20" s="72">
        <f>SUMIFS(Plan!$Z$3:$Z$118,Plan!$A$3:$A$118,Plan!$B131)</f>
        <v>0</v>
      </c>
      <c r="AG20" s="72">
        <f>SUMIFS(Plan!$AA$3:$AA$118,Plan!$A$3:$A$118,Plan!$B131)</f>
        <v>0</v>
      </c>
      <c r="AH20" s="72">
        <f t="shared" si="35"/>
        <v>0</v>
      </c>
      <c r="AI20" s="59" t="str">
        <f t="shared" si="36"/>
        <v/>
      </c>
      <c r="AJ20" s="59">
        <f>Cumplimiento!AR15</f>
        <v>1</v>
      </c>
      <c r="AK20" s="59">
        <f t="shared" si="37"/>
        <v>0</v>
      </c>
    </row>
    <row r="21" spans="1:37" ht="30" customHeight="1" x14ac:dyDescent="0.25">
      <c r="A21" s="82" t="str">
        <f>Proyectos!B14</f>
        <v>PY.7 Evaluación, dotación y consolidación de los Centros de Documentación, archivística y bases de datos</v>
      </c>
      <c r="B21" s="194">
        <v>0.05</v>
      </c>
      <c r="C21" s="72">
        <f>SUMIFS(Plan!$G$3:$G$118,Plan!$A$3:$A$118,Plan!$B132)</f>
        <v>500000</v>
      </c>
      <c r="D21" s="72">
        <f>SUMIFS(Plan!$H$3:$H$118,Plan!$A$3:$A$118,Plan!$B132)</f>
        <v>0.1</v>
      </c>
      <c r="E21" s="72">
        <f t="shared" si="23"/>
        <v>499999.9</v>
      </c>
      <c r="F21" s="59">
        <f t="shared" si="24"/>
        <v>2.0000000000000002E-7</v>
      </c>
      <c r="G21" s="59">
        <f>IFERROR((AVERAGE(Metas!R59:R59)),"")</f>
        <v>0.4</v>
      </c>
      <c r="H21" s="59">
        <f t="shared" si="21"/>
        <v>2.0000000000000004E-2</v>
      </c>
      <c r="I21" s="59">
        <f t="shared" si="25"/>
        <v>0.20000010000000001</v>
      </c>
      <c r="K21" s="83" t="str">
        <f t="shared" si="26"/>
        <v>PY.7 Evaluación, dotación y consolidación de los Centros de Documentación, archivística y bases de datos</v>
      </c>
      <c r="L21" s="194">
        <v>0.05</v>
      </c>
      <c r="M21" s="72">
        <f>SUMIFS(Plan!$N$3:$N$118,Plan!$A$3:$A$118,Plan!$B132)</f>
        <v>1000000</v>
      </c>
      <c r="N21" s="72">
        <f>SUMIFS(Plan!$O$3:$O$118,Plan!$A$3:$A$118,Plan!$B132)</f>
        <v>0.1</v>
      </c>
      <c r="O21" s="72">
        <f t="shared" si="27"/>
        <v>999999.9</v>
      </c>
      <c r="P21" s="59">
        <f>IFERROR((N21/M21),"")</f>
        <v>1.0000000000000001E-7</v>
      </c>
      <c r="Q21" s="59">
        <f>IFERROR((AVERAGE(Metas!X59:X59)),"")</f>
        <v>1</v>
      </c>
      <c r="R21" s="59">
        <f t="shared" si="28"/>
        <v>0.05</v>
      </c>
      <c r="S21" s="59">
        <f t="shared" si="22"/>
        <v>0.50000005000000003</v>
      </c>
      <c r="U21" s="83" t="str">
        <f t="shared" si="29"/>
        <v>PY.7 Evaluación, dotación y consolidación de los Centros de Documentación, archivística y bases de datos</v>
      </c>
      <c r="V21" s="194">
        <v>0.05</v>
      </c>
      <c r="W21" s="72">
        <f>SUMIFS(Plan!$U$3:$U$118,Plan!$A$3:$A$118,Plan!$B132)</f>
        <v>2000000</v>
      </c>
      <c r="X21" s="72">
        <f>SUMIFS(Plan!$V$3:$V$118,Plan!$A$3:$A$118,Plan!$B132)</f>
        <v>2000000</v>
      </c>
      <c r="Y21" s="72">
        <f t="shared" si="30"/>
        <v>0</v>
      </c>
      <c r="Z21" s="59">
        <f t="shared" si="31"/>
        <v>1</v>
      </c>
      <c r="AA21" s="59">
        <f>IFERROR((AVERAGE(Metas!AD59:AD59)),"")</f>
        <v>0.93333333333333324</v>
      </c>
      <c r="AB21" s="59">
        <f t="shared" si="32"/>
        <v>4.6666666666666662E-2</v>
      </c>
      <c r="AC21" s="59">
        <f t="shared" si="33"/>
        <v>0.96666666666666656</v>
      </c>
      <c r="AE21" s="83" t="str">
        <f t="shared" si="34"/>
        <v>PY.7 Evaluación, dotación y consolidación de los Centros de Documentación, archivística y bases de datos</v>
      </c>
      <c r="AF21" s="72">
        <f>SUMIFS(Plan!$Z$3:$Z$118,Plan!$A$3:$A$118,Plan!$B132)</f>
        <v>0</v>
      </c>
      <c r="AG21" s="72">
        <f>SUMIFS(Plan!$AA$3:$AA$118,Plan!$A$3:$A$118,Plan!$B132)</f>
        <v>0</v>
      </c>
      <c r="AH21" s="72">
        <f t="shared" si="35"/>
        <v>0</v>
      </c>
      <c r="AI21" s="59" t="str">
        <f t="shared" si="36"/>
        <v/>
      </c>
      <c r="AJ21" s="59">
        <f>Cumplimiento!AR16</f>
        <v>1</v>
      </c>
      <c r="AK21" s="59">
        <f t="shared" si="37"/>
        <v>0</v>
      </c>
    </row>
    <row r="22" spans="1:37" ht="15.75" customHeight="1" x14ac:dyDescent="0.25">
      <c r="A22" s="82" t="str">
        <f>Proyectos!B15</f>
        <v>PY.8 Creación de Centros, Institutos de investigación, desarrollo Tecnológico e Innovación</v>
      </c>
      <c r="B22" s="194">
        <v>0.05</v>
      </c>
      <c r="C22" s="72">
        <f>SUMIFS(Plan!$G$3:$G$118,Plan!$A$3:$A$118,Plan!$B133)</f>
        <v>36250124.5</v>
      </c>
      <c r="D22" s="72">
        <f>SUMIFS(Plan!$H$3:$H$118,Plan!$A$3:$A$118,Plan!$B133)</f>
        <v>19932706.200000003</v>
      </c>
      <c r="E22" s="72">
        <f t="shared" si="23"/>
        <v>16317418.299999997</v>
      </c>
      <c r="F22" s="59">
        <f t="shared" si="24"/>
        <v>0.54986586873653365</v>
      </c>
      <c r="G22" s="59">
        <f>IFERROR((AVERAGE(Metas!R60:R62)),"")</f>
        <v>0.6133333333333334</v>
      </c>
      <c r="H22" s="59">
        <f t="shared" si="21"/>
        <v>3.0666666666666672E-2</v>
      </c>
      <c r="I22" s="59">
        <f t="shared" si="25"/>
        <v>0.58159960103493358</v>
      </c>
      <c r="K22" s="83" t="str">
        <f t="shared" si="26"/>
        <v>PY.8 Creación de Centros, Institutos de investigación, desarrollo Tecnológico e Innovación</v>
      </c>
      <c r="L22" s="194">
        <v>0.05</v>
      </c>
      <c r="M22" s="72">
        <f>SUMIFS(Plan!$N$3:$N$118,Plan!$A$3:$A$118,Plan!$B133)</f>
        <v>68634837</v>
      </c>
      <c r="N22" s="72">
        <f>SUMIFS(Plan!$O$3:$O$118,Plan!$A$3:$A$118,Plan!$B133)</f>
        <v>24926138.200000003</v>
      </c>
      <c r="O22" s="72">
        <f t="shared" si="27"/>
        <v>43708698.799999997</v>
      </c>
      <c r="P22" s="59">
        <f t="shared" si="38"/>
        <v>0.36317035618515425</v>
      </c>
      <c r="Q22" s="59">
        <v>0.92300000000000004</v>
      </c>
      <c r="R22" s="59">
        <f t="shared" si="28"/>
        <v>4.6150000000000004E-2</v>
      </c>
      <c r="S22" s="59">
        <f t="shared" si="22"/>
        <v>0.64308517809257715</v>
      </c>
      <c r="U22" s="83" t="str">
        <f t="shared" si="29"/>
        <v>PY.8 Creación de Centros, Institutos de investigación, desarrollo Tecnológico e Innovación</v>
      </c>
      <c r="V22" s="194">
        <v>0.05</v>
      </c>
      <c r="W22" s="72">
        <f>SUMIFS(Plan!$U$3:$U$118,Plan!$A$3:$A$118,Plan!$B133)</f>
        <v>103952255.5</v>
      </c>
      <c r="X22" s="72">
        <f>SUMIFS(Plan!$V$3:$V$118,Plan!$A$3:$A$118,Plan!$B133)</f>
        <v>68411596</v>
      </c>
      <c r="Y22" s="72">
        <f t="shared" si="30"/>
        <v>35540659.5</v>
      </c>
      <c r="Z22" s="59">
        <f t="shared" si="31"/>
        <v>0.6581059321026469</v>
      </c>
      <c r="AA22" s="59">
        <f>IFERROR((AVERAGE(Metas!AD60:AD62)),"")</f>
        <v>1</v>
      </c>
      <c r="AB22" s="59">
        <f t="shared" si="32"/>
        <v>0.05</v>
      </c>
      <c r="AC22" s="59">
        <f t="shared" si="33"/>
        <v>0.8290529660513235</v>
      </c>
      <c r="AE22" s="83" t="str">
        <f t="shared" si="34"/>
        <v>PY.8 Creación de Centros, Institutos de investigación, desarrollo Tecnológico e Innovación</v>
      </c>
      <c r="AF22" s="72">
        <f>SUMIFS(Plan!$Z$3:$Z$118,Plan!$A$3:$A$118,Plan!$B133)</f>
        <v>0</v>
      </c>
      <c r="AG22" s="72">
        <f>SUMIFS(Plan!$AA$3:$AA$118,Plan!$A$3:$A$118,Plan!$B133)</f>
        <v>0</v>
      </c>
      <c r="AH22" s="72">
        <f t="shared" si="35"/>
        <v>0</v>
      </c>
      <c r="AI22" s="59" t="str">
        <f t="shared" si="36"/>
        <v/>
      </c>
      <c r="AJ22" s="59">
        <f>Cumplimiento!AR17</f>
        <v>1</v>
      </c>
      <c r="AK22" s="59">
        <f t="shared" si="37"/>
        <v>0</v>
      </c>
    </row>
    <row r="23" spans="1:37" ht="15.75" customHeight="1" x14ac:dyDescent="0.25">
      <c r="A23" s="82" t="str">
        <f>Proyectos!B16</f>
        <v>PY.9 Fortalecimiento  de las publicaciones científicas  y académicas de la Universidad.</v>
      </c>
      <c r="B23" s="194">
        <v>0.2</v>
      </c>
      <c r="C23" s="72">
        <f>SUMIFS(Plan!$G$3:$G$118,Plan!$A$3:$A$118,Plan!$B134)</f>
        <v>102513657.75</v>
      </c>
      <c r="D23" s="72">
        <f>SUMIFS(Plan!$H$3:$H$118,Plan!$A$3:$A$118,Plan!$B134)</f>
        <v>92387126.299999997</v>
      </c>
      <c r="E23" s="72">
        <f>C23-D23</f>
        <v>10126531.450000003</v>
      </c>
      <c r="F23" s="59">
        <f t="shared" si="24"/>
        <v>0.90121773359511204</v>
      </c>
      <c r="G23" s="59">
        <f>IFERROR((AVERAGE(Metas!R63:R68)),"")</f>
        <v>0.66359607843137258</v>
      </c>
      <c r="H23" s="59">
        <f t="shared" si="21"/>
        <v>0.13271921568627451</v>
      </c>
      <c r="I23" s="59">
        <f t="shared" si="25"/>
        <v>0.78240690601324236</v>
      </c>
      <c r="K23" s="83" t="str">
        <f t="shared" si="26"/>
        <v>PY.9 Fortalecimiento  de las publicaciones científicas  y académicas de la Universidad.</v>
      </c>
      <c r="L23" s="194">
        <v>0.2</v>
      </c>
      <c r="M23" s="72">
        <f>SUMIFS(Plan!$N$3:$N$118,Plan!$A$3:$A$118,Plan!$B134)</f>
        <v>147868777</v>
      </c>
      <c r="N23" s="72">
        <f>SUMIFS(Plan!$O$3:$O$118,Plan!$A$3:$A$118,Plan!$B134)</f>
        <v>107319895.09999999</v>
      </c>
      <c r="O23" s="72">
        <f t="shared" si="27"/>
        <v>40548881.900000006</v>
      </c>
      <c r="P23" s="59">
        <f t="shared" si="38"/>
        <v>0.7257779314696029</v>
      </c>
      <c r="Q23" s="59">
        <f>IFERROR((AVERAGE(Metas!X63:X68)),"")</f>
        <v>0.99019607843137258</v>
      </c>
      <c r="R23" s="59">
        <f t="shared" si="28"/>
        <v>0.19803921568627453</v>
      </c>
      <c r="S23" s="59">
        <f t="shared" si="22"/>
        <v>0.85798700495048774</v>
      </c>
      <c r="U23" s="83" t="str">
        <f t="shared" si="29"/>
        <v>PY.9 Fortalecimiento  de las publicaciones científicas  y académicas de la Universidad.</v>
      </c>
      <c r="V23" s="194">
        <v>0.2</v>
      </c>
      <c r="W23" s="72">
        <f>SUMIFS(Plan!$U$3:$U$118,Plan!$A$3:$A$118,Plan!$B134)</f>
        <v>208556321.25</v>
      </c>
      <c r="X23" s="72">
        <f>SUMIFS(Plan!$V$3:$V$118,Plan!$A$3:$A$118,Plan!$B134)</f>
        <v>201726208</v>
      </c>
      <c r="Y23" s="72">
        <f t="shared" si="30"/>
        <v>6830113.25</v>
      </c>
      <c r="Z23" s="59">
        <f t="shared" si="31"/>
        <v>0.96725050955510172</v>
      </c>
      <c r="AA23" s="59">
        <f>IFERROR((AVERAGE(Metas!AD63:AD68)),"")</f>
        <v>1</v>
      </c>
      <c r="AB23" s="59">
        <f t="shared" si="32"/>
        <v>0.2</v>
      </c>
      <c r="AC23" s="59">
        <f t="shared" si="33"/>
        <v>0.98362525477755081</v>
      </c>
      <c r="AE23" s="83" t="str">
        <f t="shared" si="34"/>
        <v>PY.9 Fortalecimiento  de las publicaciones científicas  y académicas de la Universidad.</v>
      </c>
      <c r="AF23" s="72">
        <f>SUMIFS(Plan!$Z$3:$Z$118,Plan!$A$3:$A$118,Plan!$B134)</f>
        <v>0</v>
      </c>
      <c r="AG23" s="72">
        <f>SUMIFS(Plan!$AA$3:$AA$118,Plan!$A$3:$A$118,Plan!$B134)</f>
        <v>0</v>
      </c>
      <c r="AH23" s="72">
        <f t="shared" si="35"/>
        <v>0</v>
      </c>
      <c r="AI23" s="59" t="str">
        <f t="shared" si="36"/>
        <v/>
      </c>
      <c r="AJ23" s="59">
        <f>Cumplimiento!AR18</f>
        <v>1</v>
      </c>
      <c r="AK23" s="59">
        <f t="shared" si="37"/>
        <v>0</v>
      </c>
    </row>
    <row r="24" spans="1:37" x14ac:dyDescent="0.25">
      <c r="A24" s="86" t="s">
        <v>195</v>
      </c>
      <c r="B24" s="198">
        <f>SUM(B15:B23)</f>
        <v>1.0000000000000002</v>
      </c>
      <c r="C24" s="90">
        <f>SUM(C15:C23)</f>
        <v>2206371588.25</v>
      </c>
      <c r="D24" s="90">
        <f t="shared" ref="D24" si="39">SUM(D15:D23)</f>
        <v>1380929493.1000001</v>
      </c>
      <c r="E24" s="90">
        <f>SUM(E15:E23)</f>
        <v>825442095.14999998</v>
      </c>
      <c r="F24" s="59">
        <f>D24/C24</f>
        <v>0.62588255779494273</v>
      </c>
      <c r="G24" s="59">
        <f>IFERROR((AVERAGE(G15:G23)),"")</f>
        <v>0.63705623035539016</v>
      </c>
      <c r="H24" s="59">
        <f>SUM(H15:H23)</f>
        <v>0.63747238156801178</v>
      </c>
      <c r="I24" s="59">
        <f>+(H24+F24)/2</f>
        <v>0.63167746968147731</v>
      </c>
      <c r="K24" s="71" t="s">
        <v>195</v>
      </c>
      <c r="L24" s="198">
        <f>SUM(L15:L23)</f>
        <v>1.0000000000000002</v>
      </c>
      <c r="M24" s="73">
        <f>SUM(M15:M23)</f>
        <v>2676620766.5</v>
      </c>
      <c r="N24" s="73">
        <f>SUM(N15:N23)</f>
        <v>1816431083.8</v>
      </c>
      <c r="O24" s="73">
        <f t="shared" ref="O24" si="40">SUM(O15:O21)</f>
        <v>775932101.99999988</v>
      </c>
      <c r="P24" s="59">
        <f>IFERROR((N24/M24),"")</f>
        <v>0.67862848055804326</v>
      </c>
      <c r="Q24" s="59">
        <f>IFERROR((AVERAGE(Q15:Q23)),"")</f>
        <v>0.84350105854307544</v>
      </c>
      <c r="R24" s="59">
        <f>SUM(R15:R23)</f>
        <v>0.82873623295472032</v>
      </c>
      <c r="S24" s="59">
        <f>+(R24+P24)/2</f>
        <v>0.75368235675638173</v>
      </c>
      <c r="U24" s="71" t="s">
        <v>195</v>
      </c>
      <c r="V24" s="198">
        <f>SUM(V15:V23)</f>
        <v>1.0000000000000002</v>
      </c>
      <c r="W24" s="73">
        <f>SUM(W15:W23)</f>
        <v>4135997404.5249996</v>
      </c>
      <c r="X24" s="73">
        <f>SUM(X15:X23)</f>
        <v>2754866772</v>
      </c>
      <c r="Y24" s="73">
        <f t="shared" ref="Y24" si="41">SUM(Y15:Y21)</f>
        <v>1338759859.7750001</v>
      </c>
      <c r="Z24" s="59">
        <f>IFERROR((X24/W24),"")</f>
        <v>0.66607072068904838</v>
      </c>
      <c r="AA24" s="59">
        <f>IFERROR((AVERAGE(AA15:AA23)),"")</f>
        <v>0.77772206624416151</v>
      </c>
      <c r="AB24" s="59">
        <f>SUM(AB15:AB23)</f>
        <v>0.76523594498517356</v>
      </c>
      <c r="AC24" s="59">
        <f>IFERROR(((Z24+AA24)/2),0)</f>
        <v>0.72189639346660495</v>
      </c>
      <c r="AE24" s="71" t="s">
        <v>195</v>
      </c>
      <c r="AF24" s="73">
        <f>SUM(AF15:AF21)</f>
        <v>0</v>
      </c>
      <c r="AG24" s="73">
        <f t="shared" ref="AG24:AH24" si="42">SUM(AG15:AG21)</f>
        <v>0</v>
      </c>
      <c r="AH24" s="73">
        <f t="shared" si="42"/>
        <v>0</v>
      </c>
      <c r="AI24" s="74" t="str">
        <f>IFERROR((AVERAGE(AI15:AI21)),"")</f>
        <v/>
      </c>
      <c r="AJ24" s="74">
        <f>IFERROR((AVERAGE(AJ15:AJ21)),"")</f>
        <v>0.97959183673469397</v>
      </c>
      <c r="AK24" s="74">
        <f>IFERROR((AVERAGE(AK15:AK21)),"")</f>
        <v>0</v>
      </c>
    </row>
    <row r="27" spans="1:37" x14ac:dyDescent="0.25">
      <c r="A27" s="306" t="s">
        <v>527</v>
      </c>
      <c r="B27" s="306"/>
      <c r="C27" s="306"/>
      <c r="D27" s="306"/>
      <c r="E27" s="306"/>
      <c r="F27" s="306"/>
      <c r="G27" s="306"/>
      <c r="H27" s="306"/>
      <c r="I27" s="306"/>
      <c r="K27" s="307" t="s">
        <v>524</v>
      </c>
      <c r="L27" s="307"/>
      <c r="M27" s="307"/>
      <c r="N27" s="307"/>
      <c r="O27" s="307"/>
      <c r="P27" s="307"/>
      <c r="Q27" s="307"/>
      <c r="R27" s="307"/>
      <c r="S27" s="307"/>
      <c r="U27" s="308" t="s">
        <v>525</v>
      </c>
      <c r="V27" s="308"/>
      <c r="W27" s="308"/>
      <c r="X27" s="308"/>
      <c r="Y27" s="308"/>
      <c r="Z27" s="308"/>
      <c r="AA27" s="308"/>
      <c r="AB27" s="308"/>
      <c r="AC27" s="308"/>
      <c r="AE27" s="308" t="s">
        <v>526</v>
      </c>
      <c r="AF27" s="308"/>
      <c r="AG27" s="308"/>
      <c r="AH27" s="308"/>
      <c r="AI27" s="308"/>
      <c r="AJ27" s="308"/>
      <c r="AK27" s="308"/>
    </row>
    <row r="28" spans="1:37" ht="24" x14ac:dyDescent="0.25">
      <c r="A28" s="86" t="s">
        <v>275</v>
      </c>
      <c r="B28" s="86" t="s">
        <v>819</v>
      </c>
      <c r="C28" s="86" t="s">
        <v>276</v>
      </c>
      <c r="D28" s="86" t="s">
        <v>277</v>
      </c>
      <c r="E28" s="86" t="s">
        <v>278</v>
      </c>
      <c r="F28" s="86" t="s">
        <v>274</v>
      </c>
      <c r="G28" s="86" t="s">
        <v>288</v>
      </c>
      <c r="H28" s="196" t="s">
        <v>820</v>
      </c>
      <c r="I28" s="86" t="s">
        <v>289</v>
      </c>
      <c r="K28" s="86" t="s">
        <v>275</v>
      </c>
      <c r="L28" s="86" t="s">
        <v>819</v>
      </c>
      <c r="M28" s="86" t="s">
        <v>276</v>
      </c>
      <c r="N28" s="86" t="s">
        <v>277</v>
      </c>
      <c r="O28" s="86" t="s">
        <v>278</v>
      </c>
      <c r="P28" s="86" t="s">
        <v>274</v>
      </c>
      <c r="Q28" s="86" t="s">
        <v>288</v>
      </c>
      <c r="R28" s="196" t="s">
        <v>820</v>
      </c>
      <c r="S28" s="86" t="s">
        <v>289</v>
      </c>
      <c r="U28" s="71" t="s">
        <v>275</v>
      </c>
      <c r="V28" s="86" t="s">
        <v>819</v>
      </c>
      <c r="W28" s="71" t="s">
        <v>276</v>
      </c>
      <c r="X28" s="71" t="s">
        <v>277</v>
      </c>
      <c r="Y28" s="71" t="s">
        <v>278</v>
      </c>
      <c r="Z28" s="71" t="s">
        <v>274</v>
      </c>
      <c r="AA28" s="71" t="s">
        <v>288</v>
      </c>
      <c r="AB28" s="196" t="s">
        <v>820</v>
      </c>
      <c r="AC28" s="71" t="s">
        <v>289</v>
      </c>
      <c r="AE28" s="71" t="s">
        <v>275</v>
      </c>
      <c r="AF28" s="71" t="s">
        <v>276</v>
      </c>
      <c r="AG28" s="71" t="s">
        <v>277</v>
      </c>
      <c r="AH28" s="71" t="s">
        <v>278</v>
      </c>
      <c r="AI28" s="71" t="s">
        <v>274</v>
      </c>
      <c r="AJ28" s="71" t="s">
        <v>288</v>
      </c>
      <c r="AK28" s="71" t="s">
        <v>289</v>
      </c>
    </row>
    <row r="29" spans="1:37" x14ac:dyDescent="0.25">
      <c r="A29" s="82" t="str">
        <f>Proyectos!B17</f>
        <v>PY. 1 Internacionalización Académica, Curricular y Administrativa</v>
      </c>
      <c r="B29" s="194">
        <v>0.15</v>
      </c>
      <c r="C29" s="72">
        <f>SUMIFS(Plan!$G$3:$G$118,Plan!$A$3:$A$118,Plan!$C126)</f>
        <v>65305388</v>
      </c>
      <c r="D29" s="72">
        <f>SUMIFS(Plan!$H$3:$H$118,Plan!$A$3:$A$118,Plan!$C126)</f>
        <v>50755851.100000001</v>
      </c>
      <c r="E29" s="72">
        <f>C29-D29</f>
        <v>14549536.899999999</v>
      </c>
      <c r="F29" s="59">
        <f>IFERROR((D29/C29),"")</f>
        <v>0.77720771064096583</v>
      </c>
      <c r="G29" s="59">
        <f>IFERROR((AVERAGE(Metas!R69:R71)),"")</f>
        <v>0.8666666666666667</v>
      </c>
      <c r="H29" s="199">
        <f>+G29*B29</f>
        <v>0.13</v>
      </c>
      <c r="I29" s="59">
        <f t="shared" ref="I29:I35" si="43">IFERROR(((F29+G29)/2),0)</f>
        <v>0.82193718865381626</v>
      </c>
      <c r="K29" s="83" t="str">
        <f>A29</f>
        <v>PY. 1 Internacionalización Académica, Curricular y Administrativa</v>
      </c>
      <c r="L29" s="194">
        <v>0.15</v>
      </c>
      <c r="M29" s="72">
        <f>SUMIFS(Plan!$N$3:$N$118,Plan!$A$3:$A$118,Plan!$C126)</f>
        <v>137963487.5</v>
      </c>
      <c r="N29" s="72">
        <f>SUMIFS(Plan!$O$3:$O$118,Plan!$A$3:$A$118,Plan!$C126)</f>
        <v>102726055.09999999</v>
      </c>
      <c r="O29" s="72">
        <f>M29-N29</f>
        <v>35237432.400000006</v>
      </c>
      <c r="P29" s="59">
        <f>IFERROR((N29/M29),"")</f>
        <v>0.74458870938588007</v>
      </c>
      <c r="Q29" s="59">
        <v>0.96499999999999997</v>
      </c>
      <c r="R29" s="59">
        <f t="shared" ref="R29:R36" si="44">+Q29*L29</f>
        <v>0.14474999999999999</v>
      </c>
      <c r="S29" s="59">
        <f t="shared" ref="S29:S36" si="45">IFERROR(((P29+Q29)/2),0)</f>
        <v>0.85479435469293996</v>
      </c>
      <c r="U29" s="83" t="str">
        <f>K29</f>
        <v>PY. 1 Internacionalización Académica, Curricular y Administrativa</v>
      </c>
      <c r="V29" s="194">
        <v>0.15</v>
      </c>
      <c r="W29" s="72">
        <f>SUMIFS(Plan!$U$3:$U$118,Plan!$A$3:$A$118,Plan!$C126)</f>
        <v>207723330.75</v>
      </c>
      <c r="X29" s="72">
        <f>SUMIFS(Plan!$V$3:$V$118,Plan!$A$3:$A$118,Plan!$C126)</f>
        <v>160661972</v>
      </c>
      <c r="Y29" s="72">
        <f>W29-X29</f>
        <v>47061358.75</v>
      </c>
      <c r="Z29" s="59">
        <f>IFERROR((X29/W29),"")</f>
        <v>0.77344211369959459</v>
      </c>
      <c r="AA29" s="59">
        <f>IFERROR((AVERAGE(Metas!AD69:AD71)),"")</f>
        <v>1</v>
      </c>
      <c r="AB29" s="59">
        <f t="shared" ref="AB29:AB36" si="46">+AA29*V29</f>
        <v>0.15</v>
      </c>
      <c r="AC29" s="59">
        <f>IFERROR(((Z29+AA29)/2),0)</f>
        <v>0.8867210568497973</v>
      </c>
      <c r="AE29" s="83" t="str">
        <f>U29</f>
        <v>PY. 1 Internacionalización Académica, Curricular y Administrativa</v>
      </c>
      <c r="AF29" s="72">
        <f>SUMIFS(Plan!$Z$3:$Z$118,Plan!$A$3:$A$118,Plan!$C126)</f>
        <v>0</v>
      </c>
      <c r="AG29" s="72">
        <f>SUMIFS(Plan!$AA$3:$AA$118,Plan!$A$3:$A$118,Plan!$C126)</f>
        <v>0</v>
      </c>
      <c r="AH29" s="72">
        <f>AF29-AG29</f>
        <v>0</v>
      </c>
      <c r="AI29" s="59" t="str">
        <f>IFERROR((AG29/AF29),"")</f>
        <v/>
      </c>
      <c r="AJ29" s="59">
        <f>Cumplimiento!AR19</f>
        <v>1</v>
      </c>
      <c r="AK29" s="59">
        <f>IFERROR(((AI29+AJ29)/2),0)</f>
        <v>0</v>
      </c>
    </row>
    <row r="30" spans="1:37" x14ac:dyDescent="0.25">
      <c r="A30" s="82" t="str">
        <f>Proyectos!B18</f>
        <v>PY. 2 Regionalización de la Usco</v>
      </c>
      <c r="B30" s="194">
        <v>0.15</v>
      </c>
      <c r="C30" s="72">
        <f>SUMIFS(Plan!$G$3:$G$118,Plan!$A$3:$A$118,Plan!$C127)</f>
        <v>16177388</v>
      </c>
      <c r="D30" s="72">
        <f>SUMIFS(Plan!$H$3:$H$118,Plan!$A$3:$A$118,Plan!$C127)</f>
        <v>16177388</v>
      </c>
      <c r="E30" s="72">
        <f t="shared" ref="E30:E36" si="47">C30-D30</f>
        <v>0</v>
      </c>
      <c r="F30" s="59">
        <f t="shared" ref="F30:F31" si="48">IFERROR((D30/C30),"")</f>
        <v>1</v>
      </c>
      <c r="G30" s="59">
        <f>IFERROR((AVERAGE(Metas!R72:R72)),"")</f>
        <v>1</v>
      </c>
      <c r="H30" s="199">
        <f t="shared" ref="H30:H36" si="49">+G30*B30</f>
        <v>0.15</v>
      </c>
      <c r="I30" s="59">
        <f t="shared" si="43"/>
        <v>1</v>
      </c>
      <c r="K30" s="83" t="str">
        <f t="shared" ref="K30:K36" si="50">A30</f>
        <v>PY. 2 Regionalización de la Usco</v>
      </c>
      <c r="L30" s="194">
        <v>0.15</v>
      </c>
      <c r="M30" s="72">
        <f>SUMIFS(Plan!$N$3:$N$118,Plan!$A$3:$A$118,Plan!$C127)</f>
        <v>25915629</v>
      </c>
      <c r="N30" s="72">
        <f>SUMIFS(Plan!$O$3:$O$118,Plan!$A$3:$A$118,Plan!$C127)</f>
        <v>25915629</v>
      </c>
      <c r="O30" s="72">
        <f t="shared" ref="O30:O36" si="51">M30-N30</f>
        <v>0</v>
      </c>
      <c r="P30" s="59">
        <f t="shared" ref="P30:P36" si="52">IFERROR((N30/M30),"")</f>
        <v>1</v>
      </c>
      <c r="Q30" s="59">
        <f>IFERROR((AVERAGE(Metas!X72:X72)),"")</f>
        <v>1</v>
      </c>
      <c r="R30" s="59">
        <f t="shared" si="44"/>
        <v>0.15</v>
      </c>
      <c r="S30" s="59">
        <f t="shared" si="45"/>
        <v>1</v>
      </c>
      <c r="U30" s="83" t="str">
        <f t="shared" ref="U30:U36" si="53">K30</f>
        <v>PY. 2 Regionalización de la Usco</v>
      </c>
      <c r="V30" s="194">
        <v>0.15</v>
      </c>
      <c r="W30" s="72">
        <f>SUMIFS(Plan!$U$3:$U$118,Plan!$A$3:$A$118,Plan!$C127)</f>
        <v>29902595</v>
      </c>
      <c r="X30" s="72">
        <f>SUMIFS(Plan!$V$3:$V$118,Plan!$A$3:$A$118,Plan!$C127)</f>
        <v>29902595</v>
      </c>
      <c r="Y30" s="72">
        <f t="shared" ref="Y30:Y36" si="54">W30-X30</f>
        <v>0</v>
      </c>
      <c r="Z30" s="59">
        <f t="shared" ref="Z30:Z36" si="55">IFERROR((X30/W30),"")</f>
        <v>1</v>
      </c>
      <c r="AA30" s="59">
        <f>IFERROR((AVERAGE(Metas!AD72:AD72)),"")</f>
        <v>1</v>
      </c>
      <c r="AB30" s="59">
        <f t="shared" si="46"/>
        <v>0.15</v>
      </c>
      <c r="AC30" s="59">
        <f t="shared" ref="AC30:AC36" si="56">IFERROR(((Z30+AA30)/2),0)</f>
        <v>1</v>
      </c>
      <c r="AE30" s="83" t="str">
        <f t="shared" ref="AE30:AE36" si="57">U30</f>
        <v>PY. 2 Regionalización de la Usco</v>
      </c>
      <c r="AF30" s="72">
        <f>SUMIFS(Plan!$Z$3:$Z$118,Plan!$A$3:$A$118,Plan!$C127)</f>
        <v>0</v>
      </c>
      <c r="AG30" s="72">
        <f>SUMIFS(Plan!$AA$3:$AA$118,Plan!$A$3:$A$118,Plan!$C127)</f>
        <v>0</v>
      </c>
      <c r="AH30" s="72">
        <f t="shared" ref="AH30:AH36" si="58">AF30-AG30</f>
        <v>0</v>
      </c>
      <c r="AI30" s="59" t="str">
        <f t="shared" ref="AI30:AI36" si="59">IFERROR((AG30/AF30),"")</f>
        <v/>
      </c>
      <c r="AJ30" s="59">
        <f>Cumplimiento!AR20</f>
        <v>1</v>
      </c>
      <c r="AK30" s="59">
        <f t="shared" ref="AK30:AK36" si="60">IFERROR(((AI30+AJ30)/2),0)</f>
        <v>0</v>
      </c>
    </row>
    <row r="31" spans="1:37" x14ac:dyDescent="0.25">
      <c r="A31" s="82" t="str">
        <f>Proyectos!B19</f>
        <v>PY.3 Reformulación y fortalecimiento de las modalidades y formas de Proyección Social</v>
      </c>
      <c r="B31" s="194">
        <v>0.15</v>
      </c>
      <c r="C31" s="72">
        <f>SUMIFS(Plan!$G$3:$G$118,Plan!$A$3:$A$118,Plan!$C128)</f>
        <v>1744147861</v>
      </c>
      <c r="D31" s="72">
        <f>SUMIFS(Plan!$H$3:$H$118,Plan!$A$3:$A$118,Plan!$C128)</f>
        <v>1682723276.0999999</v>
      </c>
      <c r="E31" s="72">
        <f t="shared" si="47"/>
        <v>61424584.900000095</v>
      </c>
      <c r="F31" s="59">
        <f t="shared" si="48"/>
        <v>0.96478246697227688</v>
      </c>
      <c r="G31" s="59">
        <f>IFERROR((AVERAGE(Metas!R73:R79)),"")</f>
        <v>0.70349325396825402</v>
      </c>
      <c r="H31" s="199">
        <f t="shared" si="49"/>
        <v>0.10552398809523809</v>
      </c>
      <c r="I31" s="59">
        <f t="shared" si="43"/>
        <v>0.83413786047026539</v>
      </c>
      <c r="K31" s="83" t="str">
        <f t="shared" si="50"/>
        <v>PY.3 Reformulación y fortalecimiento de las modalidades y formas de Proyección Social</v>
      </c>
      <c r="L31" s="194">
        <v>0.15</v>
      </c>
      <c r="M31" s="72">
        <f>SUMIFS(Plan!$N$3:$N$118,Plan!$A$3:$A$118,Plan!$C128)</f>
        <v>1952916814</v>
      </c>
      <c r="N31" s="72">
        <f>SUMIFS(Plan!$O$3:$O$118,Plan!$A$3:$A$118,Plan!$C128)</f>
        <v>1878771663</v>
      </c>
      <c r="O31" s="72">
        <f t="shared" si="51"/>
        <v>74145151</v>
      </c>
      <c r="P31" s="59">
        <f t="shared" si="52"/>
        <v>0.96203363580646606</v>
      </c>
      <c r="Q31" s="59">
        <f>IFERROR((AVERAGE(Metas!X73:X79)),"")</f>
        <v>0.75452440476190485</v>
      </c>
      <c r="R31" s="59">
        <f t="shared" si="44"/>
        <v>0.11317866071428573</v>
      </c>
      <c r="S31" s="59">
        <f t="shared" si="45"/>
        <v>0.85827902028418546</v>
      </c>
      <c r="U31" s="83" t="str">
        <f t="shared" si="53"/>
        <v>PY.3 Reformulación y fortalecimiento de las modalidades y formas de Proyección Social</v>
      </c>
      <c r="V31" s="194">
        <v>0.15</v>
      </c>
      <c r="W31" s="72">
        <f>SUMIFS(Plan!$U$3:$U$118,Plan!$A$3:$A$118,Plan!$C128)</f>
        <v>2379534749</v>
      </c>
      <c r="X31" s="72">
        <f>SUMIFS(Plan!$V$3:$V$118,Plan!$A$3:$A$118,Plan!$C128)</f>
        <v>2206588813</v>
      </c>
      <c r="Y31" s="72">
        <f t="shared" si="54"/>
        <v>172945936</v>
      </c>
      <c r="Z31" s="59">
        <f t="shared" si="55"/>
        <v>0.92731943247616766</v>
      </c>
      <c r="AA31" s="59">
        <f>IFERROR((AVERAGE(Metas!AD73:AD79)),"")</f>
        <v>0.73597883597883584</v>
      </c>
      <c r="AB31" s="59">
        <f t="shared" si="46"/>
        <v>0.11039682539682537</v>
      </c>
      <c r="AC31" s="59">
        <f t="shared" si="56"/>
        <v>0.83164913422750175</v>
      </c>
      <c r="AE31" s="83" t="str">
        <f t="shared" si="57"/>
        <v>PY.3 Reformulación y fortalecimiento de las modalidades y formas de Proyección Social</v>
      </c>
      <c r="AF31" s="72">
        <f>SUMIFS(Plan!$Z$3:$Z$118,Plan!$A$3:$A$118,Plan!$C128)</f>
        <v>0</v>
      </c>
      <c r="AG31" s="72">
        <f>SUMIFS(Plan!$AA$3:$AA$118,Plan!$A$3:$A$118,Plan!$C128)</f>
        <v>0</v>
      </c>
      <c r="AH31" s="72">
        <f t="shared" si="58"/>
        <v>0</v>
      </c>
      <c r="AI31" s="59" t="str">
        <f t="shared" si="59"/>
        <v/>
      </c>
      <c r="AJ31" s="59">
        <f>Cumplimiento!AR21</f>
        <v>1.0000000000000002</v>
      </c>
      <c r="AK31" s="59">
        <f t="shared" si="60"/>
        <v>0</v>
      </c>
    </row>
    <row r="32" spans="1:37" ht="26.25" customHeight="1" x14ac:dyDescent="0.25">
      <c r="A32" s="82" t="str">
        <f>Proyectos!B20</f>
        <v>PY.4 Estructuración y desarrollo de las Unidades de Atención Especializada y de Emprendimiento e Innovación Institucional</v>
      </c>
      <c r="B32" s="194">
        <v>0.05</v>
      </c>
      <c r="C32" s="72">
        <f>SUMIFS(Plan!$G$3:$G$118,Plan!$A$3:$A$118,Plan!$C129)</f>
        <v>12807500</v>
      </c>
      <c r="D32" s="72">
        <f>SUMIFS(Plan!$H$3:$H$118,Plan!$A$3:$A$118,Plan!$C129)</f>
        <v>3840000.1</v>
      </c>
      <c r="E32" s="72">
        <f t="shared" si="47"/>
        <v>8967499.9000000004</v>
      </c>
      <c r="F32" s="59">
        <f>IFERROR((D32/C32),"")</f>
        <v>0.29982432949443688</v>
      </c>
      <c r="G32" s="59">
        <v>1</v>
      </c>
      <c r="H32" s="199">
        <f t="shared" si="49"/>
        <v>0.05</v>
      </c>
      <c r="I32" s="59">
        <f t="shared" si="43"/>
        <v>0.64991216474721847</v>
      </c>
      <c r="K32" s="83" t="str">
        <f t="shared" si="50"/>
        <v>PY.4 Estructuración y desarrollo de las Unidades de Atención Especializada y de Emprendimiento e Innovación Institucional</v>
      </c>
      <c r="L32" s="194">
        <v>0.05</v>
      </c>
      <c r="M32" s="72">
        <f>SUMIFS(Plan!$N$3:$N$118,Plan!$A$3:$A$118,Plan!$C129)</f>
        <v>25615000</v>
      </c>
      <c r="N32" s="72">
        <f>SUMIFS(Plan!$O$3:$O$118,Plan!$A$3:$A$118,Plan!$C129)</f>
        <v>4913428.0999999996</v>
      </c>
      <c r="O32" s="72">
        <f t="shared" si="51"/>
        <v>20701571.899999999</v>
      </c>
      <c r="P32" s="59">
        <f t="shared" si="52"/>
        <v>0.19181839156744093</v>
      </c>
      <c r="Q32" s="59">
        <v>0.94299999999999995</v>
      </c>
      <c r="R32" s="59">
        <f t="shared" si="44"/>
        <v>4.7149999999999997E-2</v>
      </c>
      <c r="S32" s="59">
        <f t="shared" si="45"/>
        <v>0.5674091957837204</v>
      </c>
      <c r="U32" s="83" t="str">
        <f t="shared" si="53"/>
        <v>PY.4 Estructuración y desarrollo de las Unidades de Atención Especializada y de Emprendimiento e Innovación Institucional</v>
      </c>
      <c r="V32" s="194">
        <v>0.05</v>
      </c>
      <c r="W32" s="72">
        <f>SUMIFS(Plan!$U$3:$U$118,Plan!$A$3:$A$118,Plan!$C129)</f>
        <v>39108104</v>
      </c>
      <c r="X32" s="72">
        <f>SUMIFS(Plan!$V$3:$V$118,Plan!$A$3:$A$118,Plan!$C129)</f>
        <v>26169020</v>
      </c>
      <c r="Y32" s="72">
        <f t="shared" si="54"/>
        <v>12939084</v>
      </c>
      <c r="Z32" s="59">
        <f t="shared" si="55"/>
        <v>0.66914570954398611</v>
      </c>
      <c r="AA32" s="59">
        <f>IFERROR((AVERAGE(Metas!AD80:AD81)),"")</f>
        <v>1</v>
      </c>
      <c r="AB32" s="59">
        <f t="shared" si="46"/>
        <v>0.05</v>
      </c>
      <c r="AC32" s="59">
        <f t="shared" si="56"/>
        <v>0.83457285477199306</v>
      </c>
      <c r="AE32" s="83" t="str">
        <f t="shared" si="57"/>
        <v>PY.4 Estructuración y desarrollo de las Unidades de Atención Especializada y de Emprendimiento e Innovación Institucional</v>
      </c>
      <c r="AF32" s="72">
        <f>SUMIFS(Plan!$Z$3:$Z$118,Plan!$A$3:$A$118,Plan!$C129)</f>
        <v>0</v>
      </c>
      <c r="AG32" s="72">
        <f>SUMIFS(Plan!$AA$3:$AA$118,Plan!$A$3:$A$118,Plan!$C129)</f>
        <v>0</v>
      </c>
      <c r="AH32" s="72">
        <f t="shared" si="58"/>
        <v>0</v>
      </c>
      <c r="AI32" s="59" t="str">
        <f t="shared" si="59"/>
        <v/>
      </c>
      <c r="AJ32" s="59">
        <f>Cumplimiento!AR22</f>
        <v>1</v>
      </c>
      <c r="AK32" s="59">
        <f t="shared" si="60"/>
        <v>0</v>
      </c>
    </row>
    <row r="33" spans="1:37" x14ac:dyDescent="0.25">
      <c r="A33" s="82" t="str">
        <f>Proyectos!B21</f>
        <v>PY.5 Consolidación de la Alianza Estratégica Estado-Universidad-Empresa-Ciudadanía</v>
      </c>
      <c r="B33" s="194">
        <v>0.2</v>
      </c>
      <c r="C33" s="72">
        <f>SUMIFS(Plan!$G$3:$G$118,Plan!$A$3:$A$118,Plan!$C130)</f>
        <v>15723333</v>
      </c>
      <c r="D33" s="72">
        <f>SUMIFS(Plan!$H$3:$H$118,Plan!$A$3:$A$118,Plan!$C130)</f>
        <v>15723333</v>
      </c>
      <c r="E33" s="72">
        <f t="shared" si="47"/>
        <v>0</v>
      </c>
      <c r="F33" s="59">
        <f>IFERROR((D33/C33),"")</f>
        <v>1</v>
      </c>
      <c r="G33" s="59">
        <f>IFERROR((AVERAGE(Metas!R82:R82)),"")</f>
        <v>1</v>
      </c>
      <c r="H33" s="199">
        <f t="shared" si="49"/>
        <v>0.2</v>
      </c>
      <c r="I33" s="59">
        <f t="shared" si="43"/>
        <v>1</v>
      </c>
      <c r="K33" s="83" t="str">
        <f t="shared" si="50"/>
        <v>PY.5 Consolidación de la Alianza Estratégica Estado-Universidad-Empresa-Ciudadanía</v>
      </c>
      <c r="L33" s="194">
        <v>0.2</v>
      </c>
      <c r="M33" s="72">
        <f>SUMIFS(Plan!$N$3:$N$118,Plan!$A$3:$A$118,Plan!$C130)</f>
        <v>18973333</v>
      </c>
      <c r="N33" s="72">
        <f>SUMIFS(Plan!$O$3:$O$118,Plan!$A$3:$A$118,Plan!$C130)</f>
        <v>18973333</v>
      </c>
      <c r="O33" s="72">
        <f t="shared" si="51"/>
        <v>0</v>
      </c>
      <c r="P33" s="59">
        <f t="shared" si="52"/>
        <v>1</v>
      </c>
      <c r="Q33" s="59">
        <f>IFERROR((AVERAGE(Metas!X82:X82)),"")</f>
        <v>1</v>
      </c>
      <c r="R33" s="59">
        <f t="shared" si="44"/>
        <v>0.2</v>
      </c>
      <c r="S33" s="59">
        <f t="shared" si="45"/>
        <v>1</v>
      </c>
      <c r="U33" s="83" t="str">
        <f t="shared" si="53"/>
        <v>PY.5 Consolidación de la Alianza Estratégica Estado-Universidad-Empresa-Ciudadanía</v>
      </c>
      <c r="V33" s="194">
        <v>0.2</v>
      </c>
      <c r="W33" s="72">
        <f>SUMIFS(Plan!$U$3:$U$118,Plan!$A$3:$A$118,Plan!$C130)</f>
        <v>18973333</v>
      </c>
      <c r="X33" s="72">
        <f>SUMIFS(Plan!$V$3:$V$118,Plan!$A$3:$A$118,Plan!$C130)</f>
        <v>18973333</v>
      </c>
      <c r="Y33" s="72">
        <f t="shared" si="54"/>
        <v>0</v>
      </c>
      <c r="Z33" s="59">
        <f t="shared" si="55"/>
        <v>1</v>
      </c>
      <c r="AA33" s="59">
        <f>IFERROR((AVERAGE(Metas!AD82:AD82)),"")</f>
        <v>0.66666666666666663</v>
      </c>
      <c r="AB33" s="59">
        <f t="shared" si="46"/>
        <v>0.13333333333333333</v>
      </c>
      <c r="AC33" s="59">
        <f t="shared" si="56"/>
        <v>0.83333333333333326</v>
      </c>
      <c r="AE33" s="83" t="str">
        <f t="shared" si="57"/>
        <v>PY.5 Consolidación de la Alianza Estratégica Estado-Universidad-Empresa-Ciudadanía</v>
      </c>
      <c r="AF33" s="72">
        <f>SUMIFS(Plan!$Z$3:$Z$118,Plan!$A$3:$A$118,Plan!$C130)</f>
        <v>0</v>
      </c>
      <c r="AG33" s="72">
        <f>SUMIFS(Plan!$AA$3:$AA$118,Plan!$A$3:$A$118,Plan!$C130)</f>
        <v>0</v>
      </c>
      <c r="AH33" s="72">
        <f t="shared" si="58"/>
        <v>0</v>
      </c>
      <c r="AI33" s="59" t="str">
        <f t="shared" si="59"/>
        <v/>
      </c>
      <c r="AJ33" s="59">
        <f>Cumplimiento!AR23</f>
        <v>1</v>
      </c>
      <c r="AK33" s="59">
        <f t="shared" si="60"/>
        <v>0</v>
      </c>
    </row>
    <row r="34" spans="1:37" x14ac:dyDescent="0.25">
      <c r="A34" s="82" t="str">
        <f>Proyectos!B22</f>
        <v>PY.6 Estructuración y Desarrollo de la Agenda Social Regional</v>
      </c>
      <c r="B34" s="194">
        <v>0.1</v>
      </c>
      <c r="C34" s="72">
        <f>SUMIFS(Plan!$G$3:$G$118,Plan!$A$3:$A$118,Plan!$C131)</f>
        <v>24961000</v>
      </c>
      <c r="D34" s="72">
        <f>SUMIFS(Plan!$H$3:$H$118,Plan!$A$3:$A$118,Plan!$C131)</f>
        <v>24961000</v>
      </c>
      <c r="E34" s="72">
        <f t="shared" si="47"/>
        <v>0</v>
      </c>
      <c r="F34" s="59">
        <f>IFERROR((D34/C34),"")</f>
        <v>1</v>
      </c>
      <c r="G34" s="59">
        <f>IFERROR((AVERAGE(Metas!R83:R83)),"")</f>
        <v>1</v>
      </c>
      <c r="H34" s="199">
        <f t="shared" si="49"/>
        <v>0.1</v>
      </c>
      <c r="I34" s="59">
        <f t="shared" si="43"/>
        <v>1</v>
      </c>
      <c r="K34" s="83" t="str">
        <f t="shared" si="50"/>
        <v>PY.6 Estructuración y Desarrollo de la Agenda Social Regional</v>
      </c>
      <c r="L34" s="194">
        <v>0.1</v>
      </c>
      <c r="M34" s="72">
        <f>SUMIFS(Plan!$N$3:$N$118,Plan!$A$3:$A$118,Plan!$C131)</f>
        <v>24961000</v>
      </c>
      <c r="N34" s="72">
        <f>SUMIFS(Plan!$O$3:$O$118,Plan!$A$3:$A$118,Plan!$C131)</f>
        <v>24961000</v>
      </c>
      <c r="O34" s="72">
        <f t="shared" si="51"/>
        <v>0</v>
      </c>
      <c r="P34" s="59">
        <f t="shared" si="52"/>
        <v>1</v>
      </c>
      <c r="Q34" s="59">
        <f>IFERROR((AVERAGE(Metas!X83:X83)),"")</f>
        <v>1</v>
      </c>
      <c r="R34" s="59">
        <f t="shared" si="44"/>
        <v>0.1</v>
      </c>
      <c r="S34" s="59">
        <f t="shared" si="45"/>
        <v>1</v>
      </c>
      <c r="U34" s="83" t="str">
        <f t="shared" si="53"/>
        <v>PY.6 Estructuración y Desarrollo de la Agenda Social Regional</v>
      </c>
      <c r="V34" s="194">
        <v>0.1</v>
      </c>
      <c r="W34" s="72">
        <f>SUMIFS(Plan!$U$3:$U$118,Plan!$A$3:$A$118,Plan!$C131)</f>
        <v>29559562</v>
      </c>
      <c r="X34" s="72">
        <f>SUMIFS(Plan!$V$3:$V$118,Plan!$A$3:$A$118,Plan!$C131)</f>
        <v>29559562</v>
      </c>
      <c r="Y34" s="72">
        <f t="shared" si="54"/>
        <v>0</v>
      </c>
      <c r="Z34" s="59">
        <f t="shared" si="55"/>
        <v>1</v>
      </c>
      <c r="AA34" s="59">
        <f>IFERROR((AVERAGE(Metas!AD83:AD83)),"")</f>
        <v>1</v>
      </c>
      <c r="AB34" s="59">
        <f t="shared" si="46"/>
        <v>0.1</v>
      </c>
      <c r="AC34" s="59">
        <f t="shared" si="56"/>
        <v>1</v>
      </c>
      <c r="AE34" s="83" t="str">
        <f t="shared" si="57"/>
        <v>PY.6 Estructuración y Desarrollo de la Agenda Social Regional</v>
      </c>
      <c r="AF34" s="72">
        <f>SUMIFS(Plan!$Z$3:$Z$118,Plan!$A$3:$A$118,Plan!$C131)</f>
        <v>0</v>
      </c>
      <c r="AG34" s="72">
        <f>SUMIFS(Plan!$AA$3:$AA$118,Plan!$A$3:$A$118,Plan!$C131)</f>
        <v>0</v>
      </c>
      <c r="AH34" s="72">
        <f t="shared" si="58"/>
        <v>0</v>
      </c>
      <c r="AI34" s="59" t="str">
        <f t="shared" si="59"/>
        <v/>
      </c>
      <c r="AJ34" s="59">
        <f>Cumplimiento!AR24</f>
        <v>1</v>
      </c>
      <c r="AK34" s="59">
        <f t="shared" si="60"/>
        <v>0</v>
      </c>
    </row>
    <row r="35" spans="1:37" x14ac:dyDescent="0.25">
      <c r="A35" s="82" t="str">
        <f>Proyectos!B23</f>
        <v>PY.7 Articulación de la Educación Superior con la Educación Media, el trabajo y el desarrollo humano</v>
      </c>
      <c r="B35" s="194">
        <v>0.1</v>
      </c>
      <c r="C35" s="72">
        <f>SUMIFS(Plan!$G$3:$G$118,Plan!$A$3:$A$118,Plan!$C132)</f>
        <v>1500000</v>
      </c>
      <c r="D35" s="72">
        <f>SUMIFS(Plan!$H$3:$H$118,Plan!$A$3:$A$118,Plan!$C132)</f>
        <v>0.1</v>
      </c>
      <c r="E35" s="72">
        <f t="shared" si="47"/>
        <v>1499999.9</v>
      </c>
      <c r="F35" s="59">
        <f>IFERROR((D35/C35),"")</f>
        <v>6.6666666666666668E-8</v>
      </c>
      <c r="G35" s="59">
        <v>1</v>
      </c>
      <c r="H35" s="199">
        <f t="shared" si="49"/>
        <v>0.1</v>
      </c>
      <c r="I35" s="59">
        <f t="shared" si="43"/>
        <v>0.50000003333333332</v>
      </c>
      <c r="K35" s="83" t="str">
        <f t="shared" si="50"/>
        <v>PY.7 Articulación de la Educación Superior con la Educación Media, el trabajo y el desarrollo humano</v>
      </c>
      <c r="L35" s="194">
        <v>0.1</v>
      </c>
      <c r="M35" s="72">
        <f>SUMIFS(Plan!$N$3:$N$118,Plan!$A$3:$A$118,Plan!$C132)</f>
        <v>3000000</v>
      </c>
      <c r="N35" s="72">
        <f>SUMIFS(Plan!$O$3:$O$118,Plan!$A$3:$A$118,Plan!$C132)</f>
        <v>0.1</v>
      </c>
      <c r="O35" s="72">
        <f t="shared" si="51"/>
        <v>2999999.9</v>
      </c>
      <c r="P35" s="59">
        <f t="shared" si="52"/>
        <v>3.3333333333333334E-8</v>
      </c>
      <c r="Q35" s="59">
        <f>IFERROR((AVERAGE(Metas!X84:X84)),"")</f>
        <v>1</v>
      </c>
      <c r="R35" s="59">
        <f t="shared" si="44"/>
        <v>0.1</v>
      </c>
      <c r="S35" s="59">
        <f t="shared" si="45"/>
        <v>0.50000001666666671</v>
      </c>
      <c r="U35" s="83" t="str">
        <f t="shared" si="53"/>
        <v>PY.7 Articulación de la Educación Superior con la Educación Media, el trabajo y el desarrollo humano</v>
      </c>
      <c r="V35" s="194">
        <v>0.1</v>
      </c>
      <c r="W35" s="72">
        <f>SUMIFS(Plan!$U$3:$U$118,Plan!$A$3:$A$118,Plan!$C132)</f>
        <v>4500000</v>
      </c>
      <c r="X35" s="72">
        <f>SUMIFS(Plan!$V$3:$V$118,Plan!$A$3:$A$118,Plan!$C132)</f>
        <v>0</v>
      </c>
      <c r="Y35" s="72">
        <f t="shared" si="54"/>
        <v>4500000</v>
      </c>
      <c r="Z35" s="59">
        <f t="shared" si="55"/>
        <v>0</v>
      </c>
      <c r="AA35" s="59">
        <f>IFERROR((AVERAGE(Metas!AD84:AD84)),"")</f>
        <v>1</v>
      </c>
      <c r="AB35" s="59">
        <f t="shared" si="46"/>
        <v>0.1</v>
      </c>
      <c r="AC35" s="59">
        <f t="shared" si="56"/>
        <v>0.5</v>
      </c>
      <c r="AE35" s="83" t="str">
        <f t="shared" si="57"/>
        <v>PY.7 Articulación de la Educación Superior con la Educación Media, el trabajo y el desarrollo humano</v>
      </c>
      <c r="AF35" s="72">
        <f>SUMIFS(Plan!$Z$3:$Z$118,Plan!$A$3:$A$118,Plan!$C132)</f>
        <v>0</v>
      </c>
      <c r="AG35" s="72">
        <f>SUMIFS(Plan!$AA$3:$AA$118,Plan!$A$3:$A$118,Plan!$C132)</f>
        <v>0</v>
      </c>
      <c r="AH35" s="72">
        <f t="shared" si="58"/>
        <v>0</v>
      </c>
      <c r="AI35" s="59" t="str">
        <f t="shared" si="59"/>
        <v/>
      </c>
      <c r="AJ35" s="59">
        <f>Cumplimiento!AR25</f>
        <v>1</v>
      </c>
      <c r="AK35" s="59">
        <f t="shared" si="60"/>
        <v>0</v>
      </c>
    </row>
    <row r="36" spans="1:37" x14ac:dyDescent="0.25">
      <c r="A36" s="82" t="str">
        <f>Proyectos!B24</f>
        <v>PY.8 Fortalecimiento del sistema de comunicación e información institucional</v>
      </c>
      <c r="B36" s="194">
        <v>0.1</v>
      </c>
      <c r="C36" s="72">
        <f>SUMIFS(Plan!$G$3:$G$118,Plan!$A$3:$A$118,Plan!$C133)</f>
        <v>157496248</v>
      </c>
      <c r="D36" s="72">
        <f>SUMIFS(Plan!$H$3:$H$118,Plan!$A$3:$A$118,Plan!$C133)</f>
        <v>155996248.09999999</v>
      </c>
      <c r="E36" s="72">
        <f t="shared" si="47"/>
        <v>1499999.900000006</v>
      </c>
      <c r="F36" s="59">
        <f>IFERROR((D36/C36),"")</f>
        <v>0.99047596422741446</v>
      </c>
      <c r="G36" s="59">
        <f>IFERROR((AVERAGE(Metas!R85:R87)),"")</f>
        <v>1</v>
      </c>
      <c r="H36" s="199">
        <f t="shared" si="49"/>
        <v>0.1</v>
      </c>
      <c r="I36" s="59">
        <f>IFERROR(((F36+G36)/2),0)</f>
        <v>0.99523798211370718</v>
      </c>
      <c r="K36" s="83" t="str">
        <f t="shared" si="50"/>
        <v>PY.8 Fortalecimiento del sistema de comunicación e información institucional</v>
      </c>
      <c r="L36" s="194">
        <v>0.1</v>
      </c>
      <c r="M36" s="72">
        <f>SUMIFS(Plan!$N$3:$N$118,Plan!$A$3:$A$118,Plan!$C133)</f>
        <v>180364693</v>
      </c>
      <c r="N36" s="72">
        <f>SUMIFS(Plan!$O$3:$O$118,Plan!$A$3:$A$118,Plan!$C133)</f>
        <v>172129254.09999999</v>
      </c>
      <c r="O36" s="72">
        <f t="shared" si="51"/>
        <v>8235438.900000006</v>
      </c>
      <c r="P36" s="59">
        <f t="shared" si="52"/>
        <v>0.95434007197849968</v>
      </c>
      <c r="Q36" s="59">
        <f>IFERROR((AVERAGE(Metas!X85:X87)),"")</f>
        <v>1</v>
      </c>
      <c r="R36" s="59">
        <f t="shared" si="44"/>
        <v>0.1</v>
      </c>
      <c r="S36" s="59">
        <f t="shared" si="45"/>
        <v>0.9771700359892499</v>
      </c>
      <c r="U36" s="83" t="str">
        <f t="shared" si="53"/>
        <v>PY.8 Fortalecimiento del sistema de comunicación e información institucional</v>
      </c>
      <c r="V36" s="194">
        <v>0.1</v>
      </c>
      <c r="W36" s="72">
        <f>SUMIFS(Plan!$U$3:$U$118,Plan!$A$3:$A$118,Plan!$C133)</f>
        <v>325436787</v>
      </c>
      <c r="X36" s="72">
        <f>SUMIFS(Plan!$V$3:$V$118,Plan!$A$3:$A$118,Plan!$C133)</f>
        <v>308378397</v>
      </c>
      <c r="Y36" s="72">
        <f t="shared" si="54"/>
        <v>17058390</v>
      </c>
      <c r="Z36" s="59">
        <f t="shared" si="55"/>
        <v>0.94758309238100979</v>
      </c>
      <c r="AA36" s="59">
        <f>IFERROR((AVERAGE(Metas!AD85:AD87)),"")</f>
        <v>1</v>
      </c>
      <c r="AB36" s="59">
        <f t="shared" si="46"/>
        <v>0.1</v>
      </c>
      <c r="AC36" s="59">
        <f t="shared" si="56"/>
        <v>0.9737915461905049</v>
      </c>
      <c r="AE36" s="83" t="str">
        <f t="shared" si="57"/>
        <v>PY.8 Fortalecimiento del sistema de comunicación e información institucional</v>
      </c>
      <c r="AF36" s="72">
        <f>SUMIFS(Plan!$Z$3:$Z$118,Plan!$A$3:$A$118,Plan!$C133)</f>
        <v>0</v>
      </c>
      <c r="AG36" s="72">
        <f>SUMIFS(Plan!$AA$3:$AA$118,Plan!$A$3:$A$118,Plan!$C133)</f>
        <v>0</v>
      </c>
      <c r="AH36" s="72">
        <f t="shared" si="58"/>
        <v>0</v>
      </c>
      <c r="AI36" s="59" t="str">
        <f t="shared" si="59"/>
        <v/>
      </c>
      <c r="AJ36" s="59">
        <f>Cumplimiento!AR26</f>
        <v>1</v>
      </c>
      <c r="AK36" s="59">
        <f t="shared" si="60"/>
        <v>0</v>
      </c>
    </row>
    <row r="37" spans="1:37" x14ac:dyDescent="0.25">
      <c r="A37" s="86" t="s">
        <v>195</v>
      </c>
      <c r="B37" s="198">
        <f>SUM(B29:B36)</f>
        <v>0.99999999999999989</v>
      </c>
      <c r="C37" s="90">
        <f>SUM(C29:C36)</f>
        <v>2038118718</v>
      </c>
      <c r="D37" s="90">
        <f t="shared" ref="D37:E37" si="61">SUM(D29:D36)</f>
        <v>1950177096.4999995</v>
      </c>
      <c r="E37" s="90">
        <f t="shared" si="61"/>
        <v>87941621.500000119</v>
      </c>
      <c r="F37" s="59">
        <f>D37/C37</f>
        <v>0.95685157065516901</v>
      </c>
      <c r="G37" s="59">
        <f>IFERROR((AVERAGE(G29:G36)),"")</f>
        <v>0.94626999007936508</v>
      </c>
      <c r="H37" s="59">
        <f>SUM(H29:H36)</f>
        <v>0.93552398809523807</v>
      </c>
      <c r="I37" s="59">
        <f>+(H37+F37)/2</f>
        <v>0.9461877793752036</v>
      </c>
      <c r="K37" s="71" t="s">
        <v>195</v>
      </c>
      <c r="L37" s="198">
        <f>SUM(L29:L36)</f>
        <v>0.99999999999999989</v>
      </c>
      <c r="M37" s="73">
        <f>SUM(M29:M36)</f>
        <v>2369709956.5</v>
      </c>
      <c r="N37" s="73">
        <f>SUM(N29:N36)</f>
        <v>2228390362.3999996</v>
      </c>
      <c r="O37" s="73">
        <f>SUM(O29:O35)</f>
        <v>133084155.20000002</v>
      </c>
      <c r="P37" s="59">
        <f>IFERROR((N37/M37),"")</f>
        <v>0.9403641809781963</v>
      </c>
      <c r="Q37" s="59">
        <f>IFERROR((AVERAGE(Q29:Q36)),"")</f>
        <v>0.95781555059523815</v>
      </c>
      <c r="R37" s="59">
        <f>SUM(R29:R36)</f>
        <v>0.95507866071428571</v>
      </c>
      <c r="S37" s="59">
        <f>+(R37+P37)/2</f>
        <v>0.947721420846241</v>
      </c>
      <c r="U37" s="71" t="s">
        <v>195</v>
      </c>
      <c r="V37" s="198">
        <f>SUM(V29:V36)</f>
        <v>0.99999999999999989</v>
      </c>
      <c r="W37" s="73">
        <f>SUM(W29:W36)</f>
        <v>3034738460.75</v>
      </c>
      <c r="X37" s="73">
        <f>SUM(X29:X36)</f>
        <v>2780233692</v>
      </c>
      <c r="Y37" s="73">
        <f>SUM(Y29:Y35)</f>
        <v>237446378.75</v>
      </c>
      <c r="Z37" s="59">
        <f>IFERROR((X37/W37),"")</f>
        <v>0.91613617712311779</v>
      </c>
      <c r="AA37" s="59">
        <f>IFERROR((AVERAGE(AA29:AA36)),"")</f>
        <v>0.92533068783068784</v>
      </c>
      <c r="AB37" s="59">
        <f>SUM(AB29:AB36)</f>
        <v>0.8937301587301586</v>
      </c>
      <c r="AC37" s="59">
        <f>IFERROR(((Z37+AA37)/2),0)</f>
        <v>0.92073343247690276</v>
      </c>
      <c r="AE37" s="71" t="s">
        <v>195</v>
      </c>
      <c r="AF37" s="73">
        <f>SUM(AF29:AF35)</f>
        <v>0</v>
      </c>
      <c r="AG37" s="73">
        <f>SUM(AG29:AG35)</f>
        <v>0</v>
      </c>
      <c r="AH37" s="73">
        <f>SUM(AH29:AH35)</f>
        <v>0</v>
      </c>
      <c r="AI37" s="74" t="str">
        <f>IFERROR((AVERAGE(AI29:AI35)),"")</f>
        <v/>
      </c>
      <c r="AJ37" s="74">
        <f>IFERROR((AVERAGE(AJ29:AJ35)),"")</f>
        <v>1</v>
      </c>
      <c r="AK37" s="74">
        <f>IFERROR((AVERAGE(AK29:AK35)),"")</f>
        <v>0</v>
      </c>
    </row>
    <row r="40" spans="1:37" x14ac:dyDescent="0.25">
      <c r="A40" s="306" t="s">
        <v>528</v>
      </c>
      <c r="B40" s="306"/>
      <c r="C40" s="306"/>
      <c r="D40" s="306"/>
      <c r="E40" s="306"/>
      <c r="F40" s="306"/>
      <c r="G40" s="306"/>
      <c r="H40" s="306"/>
      <c r="I40" s="306"/>
      <c r="K40" s="307" t="s">
        <v>529</v>
      </c>
      <c r="L40" s="307"/>
      <c r="M40" s="307"/>
      <c r="N40" s="307"/>
      <c r="O40" s="307"/>
      <c r="P40" s="307"/>
      <c r="Q40" s="307"/>
      <c r="R40" s="307"/>
      <c r="S40" s="307"/>
      <c r="U40" s="308" t="s">
        <v>530</v>
      </c>
      <c r="V40" s="308"/>
      <c r="W40" s="308"/>
      <c r="X40" s="308"/>
      <c r="Y40" s="308"/>
      <c r="Z40" s="308"/>
      <c r="AA40" s="308"/>
      <c r="AB40" s="308"/>
      <c r="AC40" s="308"/>
      <c r="AE40" s="308" t="s">
        <v>531</v>
      </c>
      <c r="AF40" s="308"/>
      <c r="AG40" s="308"/>
      <c r="AH40" s="308"/>
      <c r="AI40" s="308"/>
      <c r="AJ40" s="308"/>
      <c r="AK40" s="308"/>
    </row>
    <row r="41" spans="1:37" ht="24" x14ac:dyDescent="0.25">
      <c r="A41" s="86" t="s">
        <v>275</v>
      </c>
      <c r="B41" s="86" t="s">
        <v>819</v>
      </c>
      <c r="C41" s="86" t="s">
        <v>276</v>
      </c>
      <c r="D41" s="86" t="s">
        <v>277</v>
      </c>
      <c r="E41" s="86" t="s">
        <v>278</v>
      </c>
      <c r="F41" s="86" t="s">
        <v>274</v>
      </c>
      <c r="G41" s="86" t="s">
        <v>288</v>
      </c>
      <c r="H41" s="196" t="s">
        <v>820</v>
      </c>
      <c r="I41" s="86" t="s">
        <v>289</v>
      </c>
      <c r="K41" s="86" t="s">
        <v>275</v>
      </c>
      <c r="L41" s="86" t="s">
        <v>819</v>
      </c>
      <c r="M41" s="86" t="s">
        <v>276</v>
      </c>
      <c r="N41" s="86" t="s">
        <v>277</v>
      </c>
      <c r="O41" s="86" t="s">
        <v>278</v>
      </c>
      <c r="P41" s="86" t="s">
        <v>274</v>
      </c>
      <c r="Q41" s="86" t="s">
        <v>288</v>
      </c>
      <c r="R41" s="196" t="s">
        <v>820</v>
      </c>
      <c r="S41" s="86" t="s">
        <v>289</v>
      </c>
      <c r="U41" s="71" t="s">
        <v>275</v>
      </c>
      <c r="V41" s="86" t="s">
        <v>819</v>
      </c>
      <c r="W41" s="71" t="s">
        <v>276</v>
      </c>
      <c r="X41" s="71" t="s">
        <v>277</v>
      </c>
      <c r="Y41" s="71" t="s">
        <v>278</v>
      </c>
      <c r="Z41" s="71" t="s">
        <v>274</v>
      </c>
      <c r="AA41" s="71" t="s">
        <v>288</v>
      </c>
      <c r="AB41" s="196" t="s">
        <v>820</v>
      </c>
      <c r="AC41" s="71" t="s">
        <v>289</v>
      </c>
      <c r="AE41" s="71" t="s">
        <v>275</v>
      </c>
      <c r="AF41" s="71" t="s">
        <v>276</v>
      </c>
      <c r="AG41" s="71" t="s">
        <v>277</v>
      </c>
      <c r="AH41" s="71" t="s">
        <v>278</v>
      </c>
      <c r="AI41" s="71" t="s">
        <v>274</v>
      </c>
      <c r="AJ41" s="71" t="s">
        <v>288</v>
      </c>
      <c r="AK41" s="71" t="s">
        <v>289</v>
      </c>
    </row>
    <row r="42" spans="1:37" x14ac:dyDescent="0.25">
      <c r="A42" s="65" t="str">
        <f>Proyectos!B25</f>
        <v>PY.1  Universidad Saludable</v>
      </c>
      <c r="B42" s="194">
        <v>0.09</v>
      </c>
      <c r="C42" s="72">
        <f>SUMIFS(Plan!$G$3:$G$118,Plan!$A$3:$A$118,Plan!$D126)</f>
        <v>95269971</v>
      </c>
      <c r="D42" s="72">
        <f>SUMIFS(Plan!$H$3:$H$118,Plan!$A$3:$A$118,Plan!$D126)</f>
        <v>86269971.099999994</v>
      </c>
      <c r="E42" s="72">
        <f>C42-D42</f>
        <v>8999999.900000006</v>
      </c>
      <c r="F42" s="59">
        <f t="shared" ref="F42:F48" si="62">IFERROR((D42/C42),"")</f>
        <v>0.90553161919194869</v>
      </c>
      <c r="G42" s="59">
        <f>IFERROR((AVERAGE(Metas!R88:R91)),"")</f>
        <v>0.87074074074074082</v>
      </c>
      <c r="H42" s="59">
        <f>+G42*B42</f>
        <v>7.8366666666666668E-2</v>
      </c>
      <c r="I42" s="59">
        <f t="shared" ref="I42:I48" si="63">IFERROR(((F42+G42)/2),0)</f>
        <v>0.88813617996634475</v>
      </c>
      <c r="K42" s="83" t="str">
        <f>A42</f>
        <v>PY.1  Universidad Saludable</v>
      </c>
      <c r="L42" s="194">
        <v>0.09</v>
      </c>
      <c r="M42" s="72">
        <f>SUMIFS(Plan!$N$3:$N$118,Plan!$A$3:$A$118,Plan!$D126)</f>
        <v>116727383</v>
      </c>
      <c r="N42" s="72">
        <f>SUMIFS(Plan!$O$3:$O$118,Plan!$A$3:$A$118,Plan!$D126)</f>
        <v>92586087.099999994</v>
      </c>
      <c r="O42" s="72">
        <f>M42-N42</f>
        <v>24141295.900000006</v>
      </c>
      <c r="P42" s="59">
        <f>IFERROR((N42/M42),"")</f>
        <v>0.79318223985198055</v>
      </c>
      <c r="Q42" s="59">
        <f>IFERROR((AVERAGE(Metas!X88:X91)),"")</f>
        <v>0.96499999999999997</v>
      </c>
      <c r="R42" s="59">
        <f>+Q42*L42</f>
        <v>8.6849999999999997E-2</v>
      </c>
      <c r="S42" s="59">
        <f t="shared" ref="S42:S48" si="64">IFERROR(((P42+Q42)/2),0)</f>
        <v>0.87909111992599032</v>
      </c>
      <c r="U42" s="83" t="str">
        <f>K42</f>
        <v>PY.1  Universidad Saludable</v>
      </c>
      <c r="V42" s="194">
        <v>0.09</v>
      </c>
      <c r="W42" s="72">
        <f>SUMIFS(Plan!$U$3:$U$118,Plan!$A$3:$A$118,Plan!$D126)</f>
        <v>135420789</v>
      </c>
      <c r="X42" s="72">
        <f>SUMIFS(Plan!$V$3:$V$118,Plan!$A$3:$A$118,Plan!$D126)</f>
        <v>135420789</v>
      </c>
      <c r="Y42" s="72">
        <f>W42-X42</f>
        <v>0</v>
      </c>
      <c r="Z42" s="59">
        <f>IFERROR((X42/W42),"")</f>
        <v>1</v>
      </c>
      <c r="AA42" s="59">
        <f>IFERROR((AVERAGE(Metas!AD88:AD91)),"")</f>
        <v>0.80896908910191634</v>
      </c>
      <c r="AB42" s="59">
        <f>+AA42*V42</f>
        <v>7.2807218019172462E-2</v>
      </c>
      <c r="AC42" s="59">
        <f>IFERROR(((Z42+AA42)/2),0)</f>
        <v>0.90448454455095817</v>
      </c>
      <c r="AE42" s="83" t="str">
        <f>U42</f>
        <v>PY.1  Universidad Saludable</v>
      </c>
      <c r="AF42" s="72">
        <f>SUMIFS(Plan!$Z$3:$Z$118,Plan!$A$3:$A$118,Plan!$D126)</f>
        <v>0</v>
      </c>
      <c r="AG42" s="72">
        <f>SUMIFS(Plan!$AA$3:$AA$118,Plan!$A$3:$A$118,Plan!$D126)</f>
        <v>0</v>
      </c>
      <c r="AH42" s="72">
        <f>AF42-AG42</f>
        <v>0</v>
      </c>
      <c r="AI42" s="59" t="str">
        <f>IFERROR((AG42/AF42),"")</f>
        <v/>
      </c>
      <c r="AJ42" s="59">
        <f>Cumplimiento!AR27</f>
        <v>1</v>
      </c>
      <c r="AK42" s="59">
        <f>IFERROR(((AI42+AJ42)/2),0)</f>
        <v>0</v>
      </c>
    </row>
    <row r="43" spans="1:37" x14ac:dyDescent="0.25">
      <c r="A43" s="65" t="str">
        <f>Proyectos!B26</f>
        <v>PY.2  Recreación y Deportes con responsabilidad y compromiso</v>
      </c>
      <c r="B43" s="194">
        <v>0.18</v>
      </c>
      <c r="C43" s="72">
        <f>SUMIFS(Plan!$G$3:$G$118,Plan!$A$3:$A$118,Plan!$D127)</f>
        <v>152687380</v>
      </c>
      <c r="D43" s="72">
        <f>SUMIFS(Plan!$H$3:$H$118,Plan!$A$3:$A$118,Plan!$D127)</f>
        <v>152687380</v>
      </c>
      <c r="E43" s="72">
        <f t="shared" ref="E43:E48" si="65">C43-D43</f>
        <v>0</v>
      </c>
      <c r="F43" s="59">
        <f t="shared" si="62"/>
        <v>1</v>
      </c>
      <c r="G43" s="59">
        <f>IFERROR((AVERAGE(Metas!R92:R92)),"")</f>
        <v>1</v>
      </c>
      <c r="H43" s="59">
        <f t="shared" ref="H43:H48" si="66">+G43*B43</f>
        <v>0.18</v>
      </c>
      <c r="I43" s="59">
        <f t="shared" si="63"/>
        <v>1</v>
      </c>
      <c r="K43" s="83" t="str">
        <f t="shared" ref="K43:K48" si="67">A43</f>
        <v>PY.2  Recreación y Deportes con responsabilidad y compromiso</v>
      </c>
      <c r="L43" s="194">
        <v>0.18</v>
      </c>
      <c r="M43" s="72">
        <f>SUMIFS(Plan!$N$3:$N$118,Plan!$A$3:$A$118,Plan!$D127)</f>
        <v>275029881</v>
      </c>
      <c r="N43" s="72">
        <f>SUMIFS(Plan!$O$3:$O$118,Plan!$A$3:$A$118,Plan!$D127)</f>
        <v>275029881</v>
      </c>
      <c r="O43" s="72">
        <f t="shared" ref="O43:O48" si="68">M43-N43</f>
        <v>0</v>
      </c>
      <c r="P43" s="59">
        <f>IFERROR((N43/M43),"")</f>
        <v>1</v>
      </c>
      <c r="Q43" s="59">
        <f>IFERROR((AVERAGE(Metas!X92:X92)),"")</f>
        <v>1</v>
      </c>
      <c r="R43" s="59">
        <f t="shared" ref="R43:R48" si="69">+Q43*L43</f>
        <v>0.18</v>
      </c>
      <c r="S43" s="59">
        <f t="shared" si="64"/>
        <v>1</v>
      </c>
      <c r="U43" s="83" t="str">
        <f t="shared" ref="U43:U48" si="70">K43</f>
        <v>PY.2  Recreación y Deportes con responsabilidad y compromiso</v>
      </c>
      <c r="V43" s="194">
        <v>0.18</v>
      </c>
      <c r="W43" s="72">
        <f>SUMIFS(Plan!$U$3:$U$118,Plan!$A$3:$A$118,Plan!$D127)</f>
        <v>357879762</v>
      </c>
      <c r="X43" s="72">
        <f>SUMIFS(Plan!$V$3:$V$118,Plan!$A$3:$A$118,Plan!$D127)</f>
        <v>357879762</v>
      </c>
      <c r="Y43" s="72">
        <f t="shared" ref="Y43:Y48" si="71">W43-X43</f>
        <v>0</v>
      </c>
      <c r="Z43" s="59">
        <f t="shared" ref="Z43:Z49" si="72">IFERROR((X43/W43),"")</f>
        <v>1</v>
      </c>
      <c r="AA43" s="59">
        <f>IFERROR((AVERAGE(Metas!AD92:AD92)),"")</f>
        <v>1</v>
      </c>
      <c r="AB43" s="59">
        <f t="shared" ref="AB43:AB48" si="73">+AA43*V43</f>
        <v>0.18</v>
      </c>
      <c r="AC43" s="59">
        <f t="shared" ref="AC43:AC48" si="74">IFERROR(((Z43+AA43)/2),0)</f>
        <v>1</v>
      </c>
      <c r="AE43" s="83" t="str">
        <f t="shared" ref="AE43:AE48" si="75">U43</f>
        <v>PY.2  Recreación y Deportes con responsabilidad y compromiso</v>
      </c>
      <c r="AF43" s="72">
        <f>SUMIFS(Plan!$Z$3:$Z$118,Plan!$A$3:$A$118,Plan!$D127)</f>
        <v>0</v>
      </c>
      <c r="AG43" s="72">
        <f>SUMIFS(Plan!$AA$3:$AA$118,Plan!$A$3:$A$118,Plan!$D127)</f>
        <v>0</v>
      </c>
      <c r="AH43" s="72">
        <f t="shared" ref="AH43:AH48" si="76">AF43-AG43</f>
        <v>0</v>
      </c>
      <c r="AI43" s="59" t="str">
        <f t="shared" ref="AI43:AI48" si="77">IFERROR((AG43/AF43),"")</f>
        <v/>
      </c>
      <c r="AJ43" s="59">
        <f>Cumplimiento!AR28</f>
        <v>1</v>
      </c>
      <c r="AK43" s="59">
        <f t="shared" ref="AK43:AK48" si="78">IFERROR(((AI43+AJ43)/2),0)</f>
        <v>0</v>
      </c>
    </row>
    <row r="44" spans="1:37" x14ac:dyDescent="0.25">
      <c r="A44" s="65" t="str">
        <f>Proyectos!B27</f>
        <v>PY.3 Cultura con responsabilidad y compromiso</v>
      </c>
      <c r="B44" s="194">
        <v>0.18</v>
      </c>
      <c r="C44" s="72">
        <f>SUMIFS(Plan!$G$3:$G$118,Plan!$A$3:$A$118,Plan!$D128)</f>
        <v>271568025</v>
      </c>
      <c r="D44" s="72">
        <f>SUMIFS(Plan!$H$3:$H$118,Plan!$A$3:$A$118,Plan!$D128)</f>
        <v>271568025</v>
      </c>
      <c r="E44" s="72">
        <f t="shared" si="65"/>
        <v>0</v>
      </c>
      <c r="F44" s="59">
        <f t="shared" si="62"/>
        <v>1</v>
      </c>
      <c r="G44" s="59">
        <f>IFERROR((AVERAGE(Metas!R93:R95)),"")</f>
        <v>1</v>
      </c>
      <c r="H44" s="59">
        <f t="shared" si="66"/>
        <v>0.18</v>
      </c>
      <c r="I44" s="59">
        <f t="shared" si="63"/>
        <v>1</v>
      </c>
      <c r="K44" s="83" t="str">
        <f t="shared" si="67"/>
        <v>PY.3 Cultura con responsabilidad y compromiso</v>
      </c>
      <c r="L44" s="194">
        <v>0.18</v>
      </c>
      <c r="M44" s="72">
        <f>SUMIFS(Plan!$N$3:$N$118,Plan!$A$3:$A$118,Plan!$D128)</f>
        <v>293418025</v>
      </c>
      <c r="N44" s="72">
        <f>SUMIFS(Plan!$O$3:$O$118,Plan!$A$3:$A$118,Plan!$D128)</f>
        <v>293418025</v>
      </c>
      <c r="O44" s="72">
        <f t="shared" si="68"/>
        <v>0</v>
      </c>
      <c r="P44" s="59">
        <f t="shared" ref="P44:P49" si="79">IFERROR((N44/M44),"")</f>
        <v>1</v>
      </c>
      <c r="Q44" s="59">
        <f>IFERROR((AVERAGE(Metas!X93:X95)),"")</f>
        <v>1</v>
      </c>
      <c r="R44" s="59">
        <f t="shared" si="69"/>
        <v>0.18</v>
      </c>
      <c r="S44" s="59">
        <f t="shared" si="64"/>
        <v>1</v>
      </c>
      <c r="U44" s="83" t="str">
        <f t="shared" si="70"/>
        <v>PY.3 Cultura con responsabilidad y compromiso</v>
      </c>
      <c r="V44" s="194">
        <v>0.18</v>
      </c>
      <c r="W44" s="72">
        <f>SUMIFS(Plan!$U$3:$U$118,Plan!$A$3:$A$118,Plan!$D128)</f>
        <v>331385920</v>
      </c>
      <c r="X44" s="72">
        <f>SUMIFS(Plan!$V$3:$V$118,Plan!$A$3:$A$118,Plan!$D128)</f>
        <v>331385920</v>
      </c>
      <c r="Y44" s="72">
        <f t="shared" si="71"/>
        <v>0</v>
      </c>
      <c r="Z44" s="59">
        <f t="shared" si="72"/>
        <v>1</v>
      </c>
      <c r="AA44" s="59">
        <f>IFERROR((AVERAGE(Metas!AD93:AD95)),"")</f>
        <v>1</v>
      </c>
      <c r="AB44" s="59">
        <f t="shared" si="73"/>
        <v>0.18</v>
      </c>
      <c r="AC44" s="59">
        <f t="shared" si="74"/>
        <v>1</v>
      </c>
      <c r="AE44" s="83" t="str">
        <f t="shared" si="75"/>
        <v>PY.3 Cultura con responsabilidad y compromiso</v>
      </c>
      <c r="AF44" s="72">
        <f>SUMIFS(Plan!$Z$3:$Z$118,Plan!$A$3:$A$118,Plan!$D128)</f>
        <v>0</v>
      </c>
      <c r="AG44" s="72">
        <f>SUMIFS(Plan!$AA$3:$AA$118,Plan!$A$3:$A$118,Plan!$D128)</f>
        <v>0</v>
      </c>
      <c r="AH44" s="72">
        <f t="shared" si="76"/>
        <v>0</v>
      </c>
      <c r="AI44" s="59" t="str">
        <f t="shared" si="77"/>
        <v/>
      </c>
      <c r="AJ44" s="59">
        <f>Cumplimiento!AR29</f>
        <v>1</v>
      </c>
      <c r="AK44" s="59">
        <f t="shared" si="78"/>
        <v>0</v>
      </c>
    </row>
    <row r="45" spans="1:37" x14ac:dyDescent="0.25">
      <c r="A45" s="65" t="str">
        <f>Proyectos!B28</f>
        <v>PY.4  Desarrollo Humano con responsabilidad y compromiso</v>
      </c>
      <c r="B45" s="194">
        <v>0.1</v>
      </c>
      <c r="C45" s="72">
        <f>SUMIFS(Plan!$G$3:$G$118,Plan!$A$3:$A$118,Plan!$D129)</f>
        <v>22161691.25</v>
      </c>
      <c r="D45" s="72">
        <f>SUMIFS(Plan!$H$3:$H$118,Plan!$A$3:$A$118,Plan!$D129)</f>
        <v>11993600.1</v>
      </c>
      <c r="E45" s="72">
        <f t="shared" si="65"/>
        <v>10168091.15</v>
      </c>
      <c r="F45" s="59">
        <f t="shared" si="62"/>
        <v>0.54118613803899107</v>
      </c>
      <c r="G45" s="59">
        <f>IFERROR((AVERAGE(Metas!R96:R97)),"")</f>
        <v>4.3333333333333334E-5</v>
      </c>
      <c r="H45" s="59"/>
      <c r="I45" s="59">
        <f t="shared" si="63"/>
        <v>0.27061473568616218</v>
      </c>
      <c r="K45" s="83" t="str">
        <f t="shared" si="67"/>
        <v>PY.4  Desarrollo Humano con responsabilidad y compromiso</v>
      </c>
      <c r="L45" s="194">
        <v>0.1</v>
      </c>
      <c r="M45" s="72">
        <f>SUMIFS(Plan!$N$3:$N$118,Plan!$A$3:$A$118,Plan!$D129)</f>
        <v>76572882.5</v>
      </c>
      <c r="N45" s="72">
        <f>SUMIFS(Plan!$O$3:$O$118,Plan!$A$3:$A$118,Plan!$D129)</f>
        <v>22103600.100000001</v>
      </c>
      <c r="O45" s="72">
        <f t="shared" si="68"/>
        <v>54469282.399999999</v>
      </c>
      <c r="P45" s="59">
        <f t="shared" si="79"/>
        <v>0.28866093815914534</v>
      </c>
      <c r="Q45" s="59">
        <f>IFERROR((AVERAGE(Metas!X96:X97)),"")</f>
        <v>2.1666666666666667E-5</v>
      </c>
      <c r="R45" s="59">
        <f t="shared" si="69"/>
        <v>2.166666666666667E-6</v>
      </c>
      <c r="S45" s="59">
        <f t="shared" si="64"/>
        <v>0.14434130241290599</v>
      </c>
      <c r="U45" s="83" t="str">
        <f t="shared" si="70"/>
        <v>PY.4  Desarrollo Humano con responsabilidad y compromiso</v>
      </c>
      <c r="V45" s="194">
        <v>0.1</v>
      </c>
      <c r="W45" s="72">
        <f>SUMIFS(Plan!$U$3:$U$118,Plan!$A$3:$A$118,Plan!$D129)</f>
        <v>79450990.75</v>
      </c>
      <c r="X45" s="72">
        <f>SUMIFS(Plan!$V$3:$V$118,Plan!$A$3:$A$118,Plan!$D129)</f>
        <v>40916666</v>
      </c>
      <c r="Y45" s="72">
        <f t="shared" si="71"/>
        <v>38534324.75</v>
      </c>
      <c r="Z45" s="59">
        <f t="shared" si="72"/>
        <v>0.51499252071944746</v>
      </c>
      <c r="AA45" s="59">
        <f>IFERROR((AVERAGE(Metas!AD96:AD97)),"")</f>
        <v>0.48888888888888887</v>
      </c>
      <c r="AB45" s="59">
        <f t="shared" si="73"/>
        <v>4.8888888888888891E-2</v>
      </c>
      <c r="AC45" s="59">
        <f t="shared" si="74"/>
        <v>0.50194070480416819</v>
      </c>
      <c r="AE45" s="83" t="str">
        <f t="shared" si="75"/>
        <v>PY.4  Desarrollo Humano con responsabilidad y compromiso</v>
      </c>
      <c r="AF45" s="72">
        <f>SUMIFS(Plan!$Z$3:$Z$118,Plan!$A$3:$A$118,Plan!$D129)</f>
        <v>0</v>
      </c>
      <c r="AG45" s="72">
        <f>SUMIFS(Plan!$AA$3:$AA$118,Plan!$A$3:$A$118,Plan!$D129)</f>
        <v>0</v>
      </c>
      <c r="AH45" s="72">
        <f t="shared" si="76"/>
        <v>0</v>
      </c>
      <c r="AI45" s="59" t="str">
        <f t="shared" si="77"/>
        <v/>
      </c>
      <c r="AJ45" s="59">
        <f>Cumplimiento!AR30</f>
        <v>1</v>
      </c>
      <c r="AK45" s="59">
        <f t="shared" si="78"/>
        <v>0</v>
      </c>
    </row>
    <row r="46" spans="1:37" x14ac:dyDescent="0.25">
      <c r="A46" s="65" t="str">
        <f>Proyectos!B29</f>
        <v>PY.5  Desarrollo Socio-Económico con responsabilidad y compromiso</v>
      </c>
      <c r="B46" s="194">
        <v>0.18</v>
      </c>
      <c r="C46" s="72">
        <f>SUMIFS(Plan!$G$3:$G$118,Plan!$A$3:$A$118,Plan!$D130)</f>
        <v>1499501096</v>
      </c>
      <c r="D46" s="72">
        <f>SUMIFS(Plan!$H$3:$H$118,Plan!$A$3:$A$118,Plan!$D130)</f>
        <v>1499501096</v>
      </c>
      <c r="E46" s="72">
        <f t="shared" si="65"/>
        <v>0</v>
      </c>
      <c r="F46" s="59">
        <f t="shared" si="62"/>
        <v>1</v>
      </c>
      <c r="G46" s="59">
        <f>IFERROR((AVERAGE(Metas!R98:R99)),"")</f>
        <v>0.84054399144816938</v>
      </c>
      <c r="H46" s="59">
        <f t="shared" si="66"/>
        <v>0.15129791846067048</v>
      </c>
      <c r="I46" s="59">
        <f t="shared" si="63"/>
        <v>0.92027199572408469</v>
      </c>
      <c r="K46" s="83" t="str">
        <f t="shared" si="67"/>
        <v>PY.5  Desarrollo Socio-Económico con responsabilidad y compromiso</v>
      </c>
      <c r="L46" s="194">
        <v>0.18</v>
      </c>
      <c r="M46" s="72">
        <f>SUMIFS(Plan!$N$3:$N$118,Plan!$A$3:$A$118,Plan!$D130)</f>
        <v>1499511097</v>
      </c>
      <c r="N46" s="72">
        <f>SUMIFS(Plan!$O$3:$O$118,Plan!$A$3:$A$118,Plan!$D130)</f>
        <v>1499511097</v>
      </c>
      <c r="O46" s="72">
        <f t="shared" si="68"/>
        <v>0</v>
      </c>
      <c r="P46" s="59">
        <f t="shared" si="79"/>
        <v>1</v>
      </c>
      <c r="Q46" s="59">
        <f>IFERROR((AVERAGE(Metas!X98:X99)),"")</f>
        <v>0.97940582593461412</v>
      </c>
      <c r="R46" s="59">
        <f t="shared" si="69"/>
        <v>0.17629304866823053</v>
      </c>
      <c r="S46" s="59">
        <f t="shared" si="64"/>
        <v>0.98970291296730706</v>
      </c>
      <c r="U46" s="83" t="str">
        <f t="shared" si="70"/>
        <v>PY.5  Desarrollo Socio-Económico con responsabilidad y compromiso</v>
      </c>
      <c r="V46" s="194">
        <v>0.18</v>
      </c>
      <c r="W46" s="72">
        <f>SUMIFS(Plan!$U$3:$U$118,Plan!$A$3:$A$118,Plan!$D130)</f>
        <v>1517903013</v>
      </c>
      <c r="X46" s="72">
        <f>SUMIFS(Plan!$V$3:$V$118,Plan!$A$3:$A$118,Plan!$D130)</f>
        <v>1517903013</v>
      </c>
      <c r="Y46" s="72">
        <f t="shared" si="71"/>
        <v>0</v>
      </c>
      <c r="Z46" s="59">
        <f t="shared" si="72"/>
        <v>1</v>
      </c>
      <c r="AA46" s="59">
        <f>IFERROR((AVERAGE(Metas!AD98:AD99)),"")</f>
        <v>0.93423701636131484</v>
      </c>
      <c r="AB46" s="59">
        <f t="shared" si="73"/>
        <v>0.16816266294503668</v>
      </c>
      <c r="AC46" s="59">
        <f t="shared" si="74"/>
        <v>0.96711850818065748</v>
      </c>
      <c r="AE46" s="83" t="str">
        <f t="shared" si="75"/>
        <v>PY.5  Desarrollo Socio-Económico con responsabilidad y compromiso</v>
      </c>
      <c r="AF46" s="72">
        <f>SUMIFS(Plan!$Z$3:$Z$118,Plan!$A$3:$A$118,Plan!$D130)</f>
        <v>0</v>
      </c>
      <c r="AG46" s="72">
        <f>SUMIFS(Plan!$AA$3:$AA$118,Plan!$A$3:$A$118,Plan!$D130)</f>
        <v>0</v>
      </c>
      <c r="AH46" s="72">
        <f t="shared" si="76"/>
        <v>0</v>
      </c>
      <c r="AI46" s="59" t="str">
        <f t="shared" si="77"/>
        <v/>
      </c>
      <c r="AJ46" s="59">
        <f>Cumplimiento!AR31</f>
        <v>1</v>
      </c>
      <c r="AK46" s="59">
        <f t="shared" si="78"/>
        <v>0</v>
      </c>
    </row>
    <row r="47" spans="1:37" x14ac:dyDescent="0.25">
      <c r="A47" s="65" t="str">
        <f>Proyectos!B30</f>
        <v>PY.6  Promoción de la Permanencia y Graduación estudiantil en la Usco</v>
      </c>
      <c r="B47" s="194">
        <v>0.18</v>
      </c>
      <c r="C47" s="72">
        <f>SUMIFS(Plan!$G$3:$G$118,Plan!$A$3:$A$118,Plan!$D131)</f>
        <v>750000</v>
      </c>
      <c r="D47" s="72">
        <f>SUMIFS(Plan!$H$3:$H$118,Plan!$A$3:$A$118,Plan!$D131)</f>
        <v>0.1</v>
      </c>
      <c r="E47" s="72">
        <f t="shared" si="65"/>
        <v>749999.9</v>
      </c>
      <c r="F47" s="59">
        <f t="shared" si="62"/>
        <v>1.3333333333333334E-7</v>
      </c>
      <c r="G47" s="59">
        <f>IFERROR((AVERAGE(Metas!R100:R100)),"")</f>
        <v>8.0000000000000007E-5</v>
      </c>
      <c r="H47" s="59"/>
      <c r="I47" s="59">
        <f t="shared" si="63"/>
        <v>4.0066666666666667E-5</v>
      </c>
      <c r="K47" s="83" t="str">
        <f t="shared" si="67"/>
        <v>PY.6  Promoción de la Permanencia y Graduación estudiantil en la Usco</v>
      </c>
      <c r="L47" s="194">
        <v>0.18</v>
      </c>
      <c r="M47" s="72">
        <f>SUMIFS(Plan!$N$3:$N$118,Plan!$A$3:$A$118,Plan!$D131)</f>
        <v>1500000</v>
      </c>
      <c r="N47" s="72">
        <f>SUMIFS(Plan!$O$3:$O$118,Plan!$A$3:$A$118,Plan!$D131)</f>
        <v>0.1</v>
      </c>
      <c r="O47" s="72">
        <f t="shared" si="68"/>
        <v>1499999.9</v>
      </c>
      <c r="P47" s="59">
        <f t="shared" si="79"/>
        <v>6.6666666666666668E-8</v>
      </c>
      <c r="Q47" s="59">
        <f>IFERROR((AVERAGE(Metas!X100:X100)),"")</f>
        <v>4.0000000000000003E-5</v>
      </c>
      <c r="R47" s="59">
        <f t="shared" si="69"/>
        <v>7.2000000000000005E-6</v>
      </c>
      <c r="S47" s="59">
        <f t="shared" si="64"/>
        <v>2.0033333333333334E-5</v>
      </c>
      <c r="U47" s="83" t="str">
        <f t="shared" si="70"/>
        <v>PY.6  Promoción de la Permanencia y Graduación estudiantil en la Usco</v>
      </c>
      <c r="V47" s="194">
        <v>0.18</v>
      </c>
      <c r="W47" s="72">
        <f>SUMIFS(Plan!$U$3:$U$118,Plan!$A$3:$A$118,Plan!$D131)</f>
        <v>3000000</v>
      </c>
      <c r="X47" s="72">
        <f>SUMIFS(Plan!$V$3:$V$118,Plan!$A$3:$A$118,Plan!$D131)</f>
        <v>3000000</v>
      </c>
      <c r="Y47" s="72">
        <f t="shared" si="71"/>
        <v>0</v>
      </c>
      <c r="Z47" s="59">
        <f t="shared" si="72"/>
        <v>1</v>
      </c>
      <c r="AA47" s="59">
        <f>IFERROR((AVERAGE(Metas!AD100:AD100)),"")</f>
        <v>0.53333333333333333</v>
      </c>
      <c r="AB47" s="59">
        <f t="shared" si="73"/>
        <v>9.6000000000000002E-2</v>
      </c>
      <c r="AC47" s="59">
        <f t="shared" si="74"/>
        <v>0.76666666666666661</v>
      </c>
      <c r="AE47" s="83" t="str">
        <f t="shared" si="75"/>
        <v>PY.6  Promoción de la Permanencia y Graduación estudiantil en la Usco</v>
      </c>
      <c r="AF47" s="72">
        <f>SUMIFS(Plan!$Z$3:$Z$118,Plan!$A$3:$A$118,Plan!$D131)</f>
        <v>0</v>
      </c>
      <c r="AG47" s="72">
        <f>SUMIFS(Plan!$AA$3:$AA$118,Plan!$A$3:$A$118,Plan!$D131)</f>
        <v>0</v>
      </c>
      <c r="AH47" s="72">
        <f t="shared" si="76"/>
        <v>0</v>
      </c>
      <c r="AI47" s="59" t="str">
        <f t="shared" si="77"/>
        <v/>
      </c>
      <c r="AJ47" s="59">
        <f>Cumplimiento!AR32</f>
        <v>1</v>
      </c>
      <c r="AK47" s="59">
        <f t="shared" si="78"/>
        <v>0</v>
      </c>
    </row>
    <row r="48" spans="1:37" x14ac:dyDescent="0.25">
      <c r="A48" s="65" t="str">
        <f>Proyectos!B31</f>
        <v>PY.7 Prestación de Servicios de Salud.</v>
      </c>
      <c r="B48" s="194">
        <v>0.09</v>
      </c>
      <c r="C48" s="72">
        <f>SUMIFS(Plan!$G$3:$G$118,Plan!$A$3:$A$118,Plan!$D132)</f>
        <v>111499531</v>
      </c>
      <c r="D48" s="72">
        <f>SUMIFS(Plan!$H$3:$H$118,Plan!$A$3:$A$118,Plan!$D132)</f>
        <v>107174847</v>
      </c>
      <c r="E48" s="72">
        <f t="shared" si="65"/>
        <v>4324684</v>
      </c>
      <c r="F48" s="59">
        <f t="shared" si="62"/>
        <v>0.96121343326547271</v>
      </c>
      <c r="G48" s="59">
        <f>IFERROR((AVERAGE(Metas!R101:R103)),"")</f>
        <v>0.87458102620893319</v>
      </c>
      <c r="H48" s="59">
        <f t="shared" si="66"/>
        <v>7.871229235880399E-2</v>
      </c>
      <c r="I48" s="59">
        <f t="shared" si="63"/>
        <v>0.917897229737203</v>
      </c>
      <c r="K48" s="83" t="str">
        <f t="shared" si="67"/>
        <v>PY.7 Prestación de Servicios de Salud.</v>
      </c>
      <c r="L48" s="194">
        <v>0.09</v>
      </c>
      <c r="M48" s="72">
        <f>SUMIFS(Plan!$N$3:$N$118,Plan!$A$3:$A$118,Plan!$D132)</f>
        <v>132379978</v>
      </c>
      <c r="N48" s="72">
        <f>SUMIFS(Plan!$O$3:$O$118,Plan!$A$3:$A$118,Plan!$D132)</f>
        <v>110555294</v>
      </c>
      <c r="O48" s="72">
        <f t="shared" si="68"/>
        <v>21824684</v>
      </c>
      <c r="P48" s="59">
        <f t="shared" si="79"/>
        <v>0.83513606566696963</v>
      </c>
      <c r="Q48" s="59">
        <f>IFERROR((AVERAGE(Metas!X101:X103)),"")</f>
        <v>1</v>
      </c>
      <c r="R48" s="59">
        <f t="shared" si="69"/>
        <v>0.09</v>
      </c>
      <c r="S48" s="59">
        <f t="shared" si="64"/>
        <v>0.91756803283348476</v>
      </c>
      <c r="U48" s="83" t="str">
        <f t="shared" si="70"/>
        <v>PY.7 Prestación de Servicios de Salud.</v>
      </c>
      <c r="V48" s="194">
        <v>0.09</v>
      </c>
      <c r="W48" s="72">
        <f>SUMIFS(Plan!$U$3:$U$118,Plan!$A$3:$A$118,Plan!$D132)</f>
        <v>186953322</v>
      </c>
      <c r="X48" s="72">
        <f>SUMIFS(Plan!$V$3:$V$118,Plan!$A$3:$A$118,Plan!$D132)</f>
        <v>186953322</v>
      </c>
      <c r="Y48" s="72">
        <f t="shared" si="71"/>
        <v>0</v>
      </c>
      <c r="Z48" s="59">
        <f t="shared" si="72"/>
        <v>1</v>
      </c>
      <c r="AA48" s="59">
        <f>IFERROR((AVERAGE(Metas!AD101:AD103)),"")</f>
        <v>0.91837037037037028</v>
      </c>
      <c r="AB48" s="59">
        <f t="shared" si="73"/>
        <v>8.2653333333333329E-2</v>
      </c>
      <c r="AC48" s="59">
        <f t="shared" si="74"/>
        <v>0.95918518518518514</v>
      </c>
      <c r="AE48" s="83" t="str">
        <f t="shared" si="75"/>
        <v>PY.7 Prestación de Servicios de Salud.</v>
      </c>
      <c r="AF48" s="72">
        <f>SUMIFS(Plan!$Z$3:$Z$118,Plan!$A$3:$A$118,Plan!$D132)</f>
        <v>0</v>
      </c>
      <c r="AG48" s="72">
        <f>SUMIFS(Plan!$AA$3:$AA$118,Plan!$A$3:$A$118,Plan!$D132)</f>
        <v>0</v>
      </c>
      <c r="AH48" s="72">
        <f t="shared" si="76"/>
        <v>0</v>
      </c>
      <c r="AI48" s="59" t="str">
        <f t="shared" si="77"/>
        <v/>
      </c>
      <c r="AJ48" s="59">
        <f>Cumplimiento!AR33</f>
        <v>1</v>
      </c>
      <c r="AK48" s="59">
        <f t="shared" si="78"/>
        <v>0</v>
      </c>
    </row>
    <row r="49" spans="1:37" x14ac:dyDescent="0.25">
      <c r="A49" s="86" t="s">
        <v>195</v>
      </c>
      <c r="B49" s="198">
        <f>SUM(B42:B48)</f>
        <v>0.99999999999999989</v>
      </c>
      <c r="C49" s="90">
        <f>SUM(C42:C48)</f>
        <v>2153437694.25</v>
      </c>
      <c r="D49" s="90">
        <f>SUM(D42:D48)</f>
        <v>2129194919.3</v>
      </c>
      <c r="E49" s="90">
        <f>SUM(E42:E48)</f>
        <v>24242774.950000003</v>
      </c>
      <c r="F49" s="59">
        <f>D49/C49</f>
        <v>0.98874229098212041</v>
      </c>
      <c r="G49" s="59">
        <f>IFERROR((AVERAGE(G42:G48)),"")</f>
        <v>0.65514129881873961</v>
      </c>
      <c r="H49" s="59">
        <f>SUM(H42:H48)</f>
        <v>0.66837687748614105</v>
      </c>
      <c r="I49" s="59">
        <f>+(H49+F49)/2</f>
        <v>0.82855958423413067</v>
      </c>
      <c r="K49" s="71" t="s">
        <v>195</v>
      </c>
      <c r="L49" s="198">
        <f>SUM(L42:L48)</f>
        <v>0.99999999999999989</v>
      </c>
      <c r="M49" s="73">
        <f>SUM(M42:M48)</f>
        <v>2395139246.5</v>
      </c>
      <c r="N49" s="73">
        <f>SUM(N42:N48)</f>
        <v>2293203984.2999997</v>
      </c>
      <c r="O49" s="73">
        <f>SUM(O42:O48)</f>
        <v>101935262.20000002</v>
      </c>
      <c r="P49" s="59">
        <f t="shared" si="79"/>
        <v>0.95744077829756347</v>
      </c>
      <c r="Q49" s="59">
        <f>IFERROR((AVERAGE(Q42:Q48)),"")</f>
        <v>0.70635249894303997</v>
      </c>
      <c r="R49" s="59">
        <f>SUM(R42:R48)</f>
        <v>0.71315241533489715</v>
      </c>
      <c r="S49" s="59">
        <f>+(R49+P49)/2</f>
        <v>0.83529659681623025</v>
      </c>
      <c r="U49" s="71" t="s">
        <v>195</v>
      </c>
      <c r="V49" s="198">
        <f>SUM(V42:V48)</f>
        <v>0.99999999999999989</v>
      </c>
      <c r="W49" s="73">
        <f>SUM(W42:W48)</f>
        <v>2611993796.75</v>
      </c>
      <c r="X49" s="73">
        <f>SUM(X42:X48)</f>
        <v>2573459472</v>
      </c>
      <c r="Y49" s="73">
        <f>SUM(Y42:Y48)</f>
        <v>38534324.75</v>
      </c>
      <c r="Z49" s="59">
        <f t="shared" si="72"/>
        <v>0.98524716069465912</v>
      </c>
      <c r="AA49" s="59">
        <f>IFERROR((AVERAGE(AA42:AA48)),"")</f>
        <v>0.81197124257940334</v>
      </c>
      <c r="AB49" s="59">
        <f>SUM(AB42:AB48)</f>
        <v>0.82851210318643131</v>
      </c>
      <c r="AC49" s="59">
        <f>IFERROR(((Z49+AA49)/2),0)</f>
        <v>0.89860920163703129</v>
      </c>
      <c r="AE49" s="71" t="s">
        <v>195</v>
      </c>
      <c r="AF49" s="73">
        <f>SUM(AF42:AF48)</f>
        <v>0</v>
      </c>
      <c r="AG49" s="73">
        <f>SUM(AG42:AG48)</f>
        <v>0</v>
      </c>
      <c r="AH49" s="73">
        <f>SUM(AH42:AH48)</f>
        <v>0</v>
      </c>
      <c r="AI49" s="74" t="str">
        <f>IFERROR((AVERAGE(AI42:AI48)),"")</f>
        <v/>
      </c>
      <c r="AJ49" s="74">
        <f>IFERROR((AVERAGE(AJ42:AJ48)),"")</f>
        <v>1</v>
      </c>
      <c r="AK49" s="74">
        <f>IFERROR((AVERAGE(AK42:AK48)),"")</f>
        <v>0</v>
      </c>
    </row>
    <row r="50" spans="1:37" x14ac:dyDescent="0.25">
      <c r="G50" s="85"/>
      <c r="H50" s="85"/>
      <c r="I50" s="85"/>
    </row>
    <row r="52" spans="1:37" x14ac:dyDescent="0.25">
      <c r="A52" s="306" t="s">
        <v>532</v>
      </c>
      <c r="B52" s="306"/>
      <c r="C52" s="306"/>
      <c r="D52" s="306"/>
      <c r="E52" s="306"/>
      <c r="F52" s="306"/>
      <c r="G52" s="306"/>
      <c r="H52" s="306"/>
      <c r="I52" s="306"/>
      <c r="K52" s="307" t="s">
        <v>533</v>
      </c>
      <c r="L52" s="307"/>
      <c r="M52" s="307"/>
      <c r="N52" s="307"/>
      <c r="O52" s="307"/>
      <c r="P52" s="307"/>
      <c r="Q52" s="307"/>
      <c r="R52" s="307"/>
      <c r="S52" s="307"/>
      <c r="U52" s="308" t="s">
        <v>534</v>
      </c>
      <c r="V52" s="308"/>
      <c r="W52" s="308"/>
      <c r="X52" s="308"/>
      <c r="Y52" s="308"/>
      <c r="Z52" s="308"/>
      <c r="AA52" s="308"/>
      <c r="AB52" s="308"/>
      <c r="AC52" s="308"/>
      <c r="AE52" s="308" t="s">
        <v>535</v>
      </c>
      <c r="AF52" s="308"/>
      <c r="AG52" s="308"/>
      <c r="AH52" s="308"/>
      <c r="AI52" s="308"/>
      <c r="AJ52" s="308"/>
      <c r="AK52" s="308"/>
    </row>
    <row r="53" spans="1:37" ht="24" x14ac:dyDescent="0.25">
      <c r="A53" s="86" t="s">
        <v>275</v>
      </c>
      <c r="B53" s="86" t="s">
        <v>819</v>
      </c>
      <c r="C53" s="86" t="s">
        <v>276</v>
      </c>
      <c r="D53" s="86" t="s">
        <v>277</v>
      </c>
      <c r="E53" s="86" t="s">
        <v>278</v>
      </c>
      <c r="F53" s="86" t="s">
        <v>274</v>
      </c>
      <c r="G53" s="86" t="s">
        <v>288</v>
      </c>
      <c r="H53" s="196" t="s">
        <v>820</v>
      </c>
      <c r="I53" s="86" t="s">
        <v>289</v>
      </c>
      <c r="K53" s="86" t="s">
        <v>275</v>
      </c>
      <c r="L53" s="86" t="s">
        <v>819</v>
      </c>
      <c r="M53" s="86" t="s">
        <v>276</v>
      </c>
      <c r="N53" s="86" t="s">
        <v>277</v>
      </c>
      <c r="O53" s="86" t="s">
        <v>278</v>
      </c>
      <c r="P53" s="86" t="s">
        <v>274</v>
      </c>
      <c r="Q53" s="86" t="s">
        <v>288</v>
      </c>
      <c r="R53" s="196" t="s">
        <v>820</v>
      </c>
      <c r="S53" s="86" t="s">
        <v>289</v>
      </c>
      <c r="U53" s="71" t="s">
        <v>275</v>
      </c>
      <c r="V53" s="86" t="s">
        <v>819</v>
      </c>
      <c r="W53" s="71" t="s">
        <v>276</v>
      </c>
      <c r="X53" s="71" t="s">
        <v>277</v>
      </c>
      <c r="Y53" s="71" t="s">
        <v>278</v>
      </c>
      <c r="Z53" s="71" t="s">
        <v>274</v>
      </c>
      <c r="AA53" s="71" t="s">
        <v>288</v>
      </c>
      <c r="AB53" s="196" t="s">
        <v>820</v>
      </c>
      <c r="AC53" s="71" t="s">
        <v>289</v>
      </c>
      <c r="AE53" s="71" t="s">
        <v>275</v>
      </c>
      <c r="AF53" s="71" t="s">
        <v>276</v>
      </c>
      <c r="AG53" s="71" t="s">
        <v>277</v>
      </c>
      <c r="AH53" s="71" t="s">
        <v>278</v>
      </c>
      <c r="AI53" s="71" t="s">
        <v>274</v>
      </c>
      <c r="AJ53" s="71" t="s">
        <v>288</v>
      </c>
      <c r="AK53" s="71" t="s">
        <v>289</v>
      </c>
    </row>
    <row r="54" spans="1:37" x14ac:dyDescent="0.25">
      <c r="A54" s="65" t="str">
        <f>Proyectos!B32</f>
        <v>PY.1  Revisión, reforma y actualización de la plataforma jurídico-normativa institucional.</v>
      </c>
      <c r="B54" s="194">
        <v>0.25</v>
      </c>
      <c r="C54" s="72">
        <f>SUMIFS(Plan!$G$3:$G$118,Plan!$A$3:$A$118,Plan!$E126)</f>
        <v>200000</v>
      </c>
      <c r="D54" s="72">
        <f>SUMIFS(Plan!$H$3:$H$118,Plan!$A$3:$A$118,Plan!$E126)</f>
        <v>0</v>
      </c>
      <c r="E54" s="72">
        <f>C54-D54</f>
        <v>200000</v>
      </c>
      <c r="F54" s="59">
        <f>IFERROR((D54/C54),"")</f>
        <v>0</v>
      </c>
      <c r="G54" s="59">
        <f>IFERROR((AVERAGE(Metas!R104:R104)),"")</f>
        <v>1</v>
      </c>
      <c r="H54" s="59">
        <f>+G54*B54</f>
        <v>0.25</v>
      </c>
      <c r="I54" s="59">
        <f t="shared" ref="I54:I60" si="80">IFERROR(((F54+G54)/2),0)</f>
        <v>0.5</v>
      </c>
      <c r="K54" s="83" t="str">
        <f>A54</f>
        <v>PY.1  Revisión, reforma y actualización de la plataforma jurídico-normativa institucional.</v>
      </c>
      <c r="L54" s="194">
        <v>0.25</v>
      </c>
      <c r="M54" s="72">
        <f>SUMIFS(Plan!$N$3:$N$118,Plan!$A$3:$A$118,Plan!$E126)</f>
        <v>1000000</v>
      </c>
      <c r="N54" s="72">
        <f>SUMIFS(Plan!$O$3:$O$118,Plan!$A$3:$A$118,Plan!$E126)</f>
        <v>0</v>
      </c>
      <c r="O54" s="72">
        <f>M54-N54</f>
        <v>1000000</v>
      </c>
      <c r="P54" s="59">
        <f>IFERROR((N54/M54),"")</f>
        <v>0</v>
      </c>
      <c r="Q54" s="59">
        <f>IFERROR((AVERAGE(Metas!X104:X104)),"")</f>
        <v>0.99999999999999978</v>
      </c>
      <c r="R54" s="59">
        <f>+Q54*L54</f>
        <v>0.24999999999999994</v>
      </c>
      <c r="S54" s="59">
        <f>IFERROR(((P54+Q54)/2),0)</f>
        <v>0.49999999999999989</v>
      </c>
      <c r="U54" s="83" t="str">
        <f>K54</f>
        <v>PY.1  Revisión, reforma y actualización de la plataforma jurídico-normativa institucional.</v>
      </c>
      <c r="V54" s="194">
        <v>0.25</v>
      </c>
      <c r="W54" s="72">
        <f>SUMIFS(Plan!$U$3:$U$118,Plan!$A$3:$A$118,Plan!$E126)</f>
        <v>1500000</v>
      </c>
      <c r="X54" s="72">
        <f>SUMIFS(Plan!$V$3:$V$118,Plan!$A$3:$A$118,Plan!$E126)</f>
        <v>0</v>
      </c>
      <c r="Y54" s="72">
        <f>W54-X54</f>
        <v>1500000</v>
      </c>
      <c r="Z54" s="59">
        <f>IFERROR((X54/W54),"")</f>
        <v>0</v>
      </c>
      <c r="AA54" s="59">
        <f>IFERROR((AVERAGE(Metas!AD104:AD104)),"")</f>
        <v>1</v>
      </c>
      <c r="AB54" s="59">
        <f>+AA54*V54</f>
        <v>0.25</v>
      </c>
      <c r="AC54" s="59">
        <f>IFERROR(((Z54+AA54)/2),0)</f>
        <v>0.5</v>
      </c>
      <c r="AE54" s="83" t="str">
        <f>U54</f>
        <v>PY.1  Revisión, reforma y actualización de la plataforma jurídico-normativa institucional.</v>
      </c>
      <c r="AF54" s="72">
        <f>SUMIFS(Plan!$Z$3:$Z$118,Plan!$A$3:$A$118,Plan!$D160)</f>
        <v>0</v>
      </c>
      <c r="AG54" s="72">
        <f>SUMIFS(Plan!$AA$3:$AA$118,Plan!$A$3:$A$118,Plan!$D160)</f>
        <v>0</v>
      </c>
      <c r="AH54" s="72">
        <f>AF54-AG54</f>
        <v>0</v>
      </c>
      <c r="AI54" s="59" t="str">
        <f>IFERROR((AG54/AF54),"")</f>
        <v/>
      </c>
      <c r="AJ54" s="59">
        <f>Cumplimiento!AR34</f>
        <v>0</v>
      </c>
      <c r="AK54" s="59">
        <f>IFERROR(((AI54+AJ54)/2),0)</f>
        <v>0</v>
      </c>
    </row>
    <row r="55" spans="1:37" x14ac:dyDescent="0.25">
      <c r="A55" s="65" t="str">
        <f>Proyectos!B33</f>
        <v xml:space="preserve">PY.2  Desarrollo, construcción, dotación y mantenimiento de las Sedes </v>
      </c>
      <c r="B55" s="194">
        <v>0.3</v>
      </c>
      <c r="C55" s="72">
        <f>SUMIFS(Plan!$G$3:$G$118,Plan!$A$3:$A$118,Plan!$E127)</f>
        <v>4188704736</v>
      </c>
      <c r="D55" s="72">
        <f>SUMIFS(Plan!$H$3:$H$118,Plan!$A$3:$A$118,Plan!$E127)</f>
        <v>1140276428</v>
      </c>
      <c r="E55" s="72">
        <f t="shared" ref="E55:E60" si="81">C55-D55</f>
        <v>3048428308</v>
      </c>
      <c r="F55" s="59">
        <f>IFERROR((D55/C55),"")</f>
        <v>0.27222649956676248</v>
      </c>
      <c r="G55" s="59">
        <f>IFERROR((AVERAGE(Metas!R105:R113)),"")</f>
        <v>0.60916986765665448</v>
      </c>
      <c r="H55" s="59">
        <f t="shared" ref="H55:H60" si="82">+G55*B55</f>
        <v>0.18275096029699633</v>
      </c>
      <c r="I55" s="59">
        <f t="shared" si="80"/>
        <v>0.44069818361170848</v>
      </c>
      <c r="K55" s="83" t="str">
        <f t="shared" ref="K55:K60" si="83">A55</f>
        <v xml:space="preserve">PY.2  Desarrollo, construcción, dotación y mantenimiento de las Sedes </v>
      </c>
      <c r="L55" s="194">
        <v>0.3</v>
      </c>
      <c r="M55" s="72">
        <f>SUMIFS(Plan!$N$3:$N$118,Plan!$A$3:$A$118,Plan!$E127)</f>
        <v>8267901191.5</v>
      </c>
      <c r="N55" s="72">
        <f>SUMIFS(Plan!$O$3:$O$118,Plan!$A$3:$A$118,Plan!$E127)</f>
        <v>1657482417</v>
      </c>
      <c r="O55" s="72">
        <f t="shared" ref="O55:O60" si="84">M55-N55</f>
        <v>6610418774.5</v>
      </c>
      <c r="P55" s="59">
        <f>IFERROR((N55/M55),"")</f>
        <v>0.20047196726347088</v>
      </c>
      <c r="Q55" s="59">
        <f>IFERROR((AVERAGE(Metas!X105:X113)),"")</f>
        <v>0.53706659109505273</v>
      </c>
      <c r="R55" s="59">
        <f>+Q55*L55</f>
        <v>0.16111997732851582</v>
      </c>
      <c r="S55" s="59">
        <f t="shared" ref="S55:S60" si="85">IFERROR(((P55+Q55)/2),0)</f>
        <v>0.36876927917926183</v>
      </c>
      <c r="U55" s="83" t="str">
        <f t="shared" ref="U55:U60" si="86">K55</f>
        <v xml:space="preserve">PY.2  Desarrollo, construcción, dotación y mantenimiento de las Sedes </v>
      </c>
      <c r="V55" s="194">
        <v>0.3</v>
      </c>
      <c r="W55" s="72">
        <f>SUMIFS(Plan!$U$3:$U$118,Plan!$A$3:$A$118,Plan!$E127)</f>
        <v>12685047437.75</v>
      </c>
      <c r="X55" s="72">
        <f>SUMIFS(Plan!$V$3:$V$118,Plan!$A$3:$A$118,Plan!$E127)</f>
        <v>2724205774</v>
      </c>
      <c r="Y55" s="72">
        <f t="shared" ref="Y55:Y60" si="87">W55-X55</f>
        <v>9960841663.75</v>
      </c>
      <c r="Z55" s="59">
        <f t="shared" ref="Z55:Z61" si="88">IFERROR((X55/W55),"")</f>
        <v>0.21475723976348043</v>
      </c>
      <c r="AA55" s="59">
        <f>IFERROR((AVERAGE(Metas!AD105:AD113)),"")</f>
        <v>0.66787535451176305</v>
      </c>
      <c r="AB55" s="59">
        <f t="shared" ref="AB55:AB60" si="89">+AA55*V55</f>
        <v>0.2003626063535289</v>
      </c>
      <c r="AC55" s="59">
        <f t="shared" ref="AC55:AC60" si="90">IFERROR(((Z55+AA55)/2),0)</f>
        <v>0.44131629713762177</v>
      </c>
      <c r="AE55" s="83" t="str">
        <f t="shared" ref="AE55:AE60" si="91">U55</f>
        <v xml:space="preserve">PY.2  Desarrollo, construcción, dotación y mantenimiento de las Sedes </v>
      </c>
      <c r="AF55" s="72">
        <f>SUMIFS(Plan!$Z$3:$Z$118,Plan!$A$3:$A$118,Plan!$D161)</f>
        <v>0</v>
      </c>
      <c r="AG55" s="72">
        <f>SUMIFS(Plan!$AA$3:$AA$118,Plan!$A$3:$A$118,Plan!$D161)</f>
        <v>0</v>
      </c>
      <c r="AH55" s="72">
        <f t="shared" ref="AH55:AH60" si="92">AF55-AG55</f>
        <v>0</v>
      </c>
      <c r="AI55" s="59" t="str">
        <f t="shared" ref="AI55:AI60" si="93">IFERROR((AG55/AF55),"")</f>
        <v/>
      </c>
      <c r="AJ55" s="59">
        <f>Cumplimiento!AR35</f>
        <v>0.88888888888888884</v>
      </c>
      <c r="AK55" s="59">
        <f t="shared" ref="AK55:AK60" si="94">IFERROR(((AI55+AJ55)/2),0)</f>
        <v>0</v>
      </c>
    </row>
    <row r="56" spans="1:37" x14ac:dyDescent="0.25">
      <c r="A56" s="65" t="str">
        <f>Proyectos!B34</f>
        <v>PY.3 Aseguramiento de los Sistemas de Gestión de Calidad y Gestión Ambiental</v>
      </c>
      <c r="B56" s="194">
        <v>0.25</v>
      </c>
      <c r="C56" s="72">
        <f>SUMIFS(Plan!$G$3:$G$118,Plan!$A$3:$A$118,Plan!$E128)</f>
        <v>146749823</v>
      </c>
      <c r="D56" s="72">
        <f>SUMIFS(Plan!$H$3:$H$118,Plan!$A$3:$A$118,Plan!$E128)</f>
        <v>129249823.09999999</v>
      </c>
      <c r="E56" s="72">
        <f t="shared" si="81"/>
        <v>17499999.900000006</v>
      </c>
      <c r="F56" s="59">
        <f>IFERROR((D56/C56),"")</f>
        <v>0.88074943095502056</v>
      </c>
      <c r="G56" s="59">
        <f>IFERROR((AVERAGE(Metas!R114:R118)),"")</f>
        <v>1</v>
      </c>
      <c r="H56" s="59">
        <f t="shared" si="82"/>
        <v>0.25</v>
      </c>
      <c r="I56" s="59">
        <f t="shared" si="80"/>
        <v>0.94037471547751028</v>
      </c>
      <c r="K56" s="83" t="str">
        <f t="shared" si="83"/>
        <v>PY.3 Aseguramiento de los Sistemas de Gestión de Calidad y Gestión Ambiental</v>
      </c>
      <c r="L56" s="194">
        <v>0.25</v>
      </c>
      <c r="M56" s="72">
        <f>SUMIFS(Plan!$N$3:$N$118,Plan!$A$3:$A$118,Plan!$E128)</f>
        <v>168631469</v>
      </c>
      <c r="N56" s="72">
        <f>SUMIFS(Plan!$O$3:$O$118,Plan!$A$3:$A$118,Plan!$E128)</f>
        <v>138013115</v>
      </c>
      <c r="O56" s="72">
        <f t="shared" si="84"/>
        <v>30618354</v>
      </c>
      <c r="P56" s="59">
        <f>IFERROR((N56/M56),"")</f>
        <v>0.81843036663577895</v>
      </c>
      <c r="Q56" s="59">
        <f>IFERROR((AVERAGE(Metas!X114:X118)),"")</f>
        <v>1</v>
      </c>
      <c r="R56" s="59">
        <f>+Q56*L56</f>
        <v>0.25</v>
      </c>
      <c r="S56" s="59">
        <f t="shared" si="85"/>
        <v>0.90921518331788942</v>
      </c>
      <c r="U56" s="83" t="str">
        <f t="shared" si="86"/>
        <v>PY.3 Aseguramiento de los Sistemas de Gestión de Calidad y Gestión Ambiental</v>
      </c>
      <c r="V56" s="194">
        <v>0.25</v>
      </c>
      <c r="W56" s="72">
        <f>SUMIFS(Plan!$U$3:$U$118,Plan!$A$3:$A$118,Plan!$E128)</f>
        <v>258265766.25</v>
      </c>
      <c r="X56" s="72">
        <f>SUMIFS(Plan!$V$3:$V$118,Plan!$A$3:$A$118,Plan!$E128)</f>
        <v>250565688</v>
      </c>
      <c r="Y56" s="72">
        <f t="shared" si="87"/>
        <v>7700078.25</v>
      </c>
      <c r="Z56" s="59">
        <f t="shared" si="88"/>
        <v>0.97018544748766133</v>
      </c>
      <c r="AA56" s="59">
        <f>IFERROR((AVERAGE(Metas!AD114:AD118)),"")</f>
        <v>1</v>
      </c>
      <c r="AB56" s="59">
        <f t="shared" si="89"/>
        <v>0.25</v>
      </c>
      <c r="AC56" s="59">
        <f t="shared" si="90"/>
        <v>0.98509272374383072</v>
      </c>
      <c r="AE56" s="83" t="str">
        <f t="shared" si="91"/>
        <v>PY.3 Aseguramiento de los Sistemas de Gestión de Calidad y Gestión Ambiental</v>
      </c>
      <c r="AF56" s="72">
        <f>SUMIFS(Plan!$Z$3:$Z$118,Plan!$A$3:$A$118,Plan!$D162)</f>
        <v>0</v>
      </c>
      <c r="AG56" s="72">
        <f>SUMIFS(Plan!$AA$3:$AA$118,Plan!$A$3:$A$118,Plan!$D162)</f>
        <v>0</v>
      </c>
      <c r="AH56" s="72">
        <f t="shared" si="92"/>
        <v>0</v>
      </c>
      <c r="AI56" s="59" t="str">
        <f t="shared" si="93"/>
        <v/>
      </c>
      <c r="AJ56" s="59">
        <f>Cumplimiento!AR36</f>
        <v>0.6</v>
      </c>
      <c r="AK56" s="59">
        <f t="shared" si="94"/>
        <v>0</v>
      </c>
    </row>
    <row r="57" spans="1:37" hidden="1" x14ac:dyDescent="0.25">
      <c r="A57" s="65" t="str">
        <f>Proyectos!B35</f>
        <v>PY.4 Creación del Grupo de Proyectos Institucionales Especiales (GPIE)</v>
      </c>
      <c r="B57" s="194"/>
      <c r="C57" s="72">
        <f>SUMIFS(Plan!$G$3:$G$118,Plan!$A$3:$A$118,Plan!$E129)</f>
        <v>0</v>
      </c>
      <c r="D57" s="72">
        <f>SUMIFS(Plan!$H$3:$H$118,Plan!$A$3:$A$118,Plan!$E129)</f>
        <v>0</v>
      </c>
      <c r="E57" s="72">
        <f t="shared" si="81"/>
        <v>0</v>
      </c>
      <c r="F57" s="59" t="str">
        <f t="shared" ref="F57:F59" si="95">IFERROR((D57/C57),"")</f>
        <v/>
      </c>
      <c r="G57" s="59">
        <f>IFERROR((AVERAGE(Metas!R107:R107)),"")</f>
        <v>0.42320819112627989</v>
      </c>
      <c r="H57" s="59">
        <f t="shared" si="82"/>
        <v>0</v>
      </c>
      <c r="I57" s="59">
        <f t="shared" si="80"/>
        <v>0</v>
      </c>
      <c r="K57" s="83" t="str">
        <f t="shared" si="83"/>
        <v>PY.4 Creación del Grupo de Proyectos Institucionales Especiales (GPIE)</v>
      </c>
      <c r="L57" s="194"/>
      <c r="M57" s="72">
        <f>SUMIFS(Plan!$N$3:$N$118,Plan!$A$3:$A$118,Plan!$E129)</f>
        <v>0</v>
      </c>
      <c r="N57" s="72">
        <f>SUMIFS(Plan!$O$3:$O$118,Plan!$A$3:$A$118,Plan!$E129)</f>
        <v>0</v>
      </c>
      <c r="O57" s="72">
        <f t="shared" si="84"/>
        <v>0</v>
      </c>
      <c r="P57" s="59" t="str">
        <f t="shared" ref="P57:P59" si="96">IFERROR((N57/M57),"")</f>
        <v/>
      </c>
      <c r="Q57" s="59"/>
      <c r="R57" s="59"/>
      <c r="S57" s="59">
        <f t="shared" si="85"/>
        <v>0</v>
      </c>
      <c r="U57" s="83" t="str">
        <f t="shared" si="86"/>
        <v>PY.4 Creación del Grupo de Proyectos Institucionales Especiales (GPIE)</v>
      </c>
      <c r="V57" s="194"/>
      <c r="W57" s="72">
        <f>SUMIFS(Plan!$U$3:$U$118,Plan!$A$3:$A$118,Plan!$E163)</f>
        <v>0</v>
      </c>
      <c r="X57" s="72">
        <f>SUMIFS(Plan!$V$3:$V$118,Plan!$A$3:$A$118,Plan!$D163)</f>
        <v>0</v>
      </c>
      <c r="Y57" s="72">
        <f t="shared" si="87"/>
        <v>0</v>
      </c>
      <c r="Z57" s="59" t="str">
        <f t="shared" si="88"/>
        <v/>
      </c>
      <c r="AA57" s="59" t="str">
        <f>IFERROR((AVERAGE(Metas!AL107:AL107)),"")</f>
        <v/>
      </c>
      <c r="AB57" s="59"/>
      <c r="AC57" s="59">
        <f t="shared" si="90"/>
        <v>0</v>
      </c>
      <c r="AE57" s="83" t="str">
        <f t="shared" si="91"/>
        <v>PY.4 Creación del Grupo de Proyectos Institucionales Especiales (GPIE)</v>
      </c>
      <c r="AF57" s="72">
        <f>SUMIFS(Plan!$Z$3:$Z$118,Plan!$A$3:$A$118,Plan!$D163)</f>
        <v>0</v>
      </c>
      <c r="AG57" s="72">
        <f>SUMIFS(Plan!$AA$3:$AA$118,Plan!$A$3:$A$118,Plan!$D163)</f>
        <v>0</v>
      </c>
      <c r="AH57" s="72">
        <f t="shared" si="92"/>
        <v>0</v>
      </c>
      <c r="AI57" s="59" t="str">
        <f t="shared" si="93"/>
        <v/>
      </c>
      <c r="AJ57" s="59">
        <f>Cumplimiento!AR37</f>
        <v>0</v>
      </c>
      <c r="AK57" s="59">
        <f t="shared" si="94"/>
        <v>0</v>
      </c>
    </row>
    <row r="58" spans="1:37" hidden="1" x14ac:dyDescent="0.25">
      <c r="A58" s="65" t="str">
        <f>Proyectos!B36</f>
        <v>PY.5 Reestructuración Organizacional académica y administrativa</v>
      </c>
      <c r="B58" s="201"/>
      <c r="C58" s="72">
        <f>SUMIFS(Plan!$G$3:$G$118,Plan!$A$3:$A$118,Plan!$E130)</f>
        <v>0</v>
      </c>
      <c r="D58" s="72">
        <f>SUMIFS(Plan!$H$3:$H$118,Plan!$A$3:$A$118,Plan!$E130)</f>
        <v>0.1</v>
      </c>
      <c r="E58" s="72">
        <f t="shared" si="81"/>
        <v>-0.1</v>
      </c>
      <c r="F58" s="59" t="str">
        <f t="shared" si="95"/>
        <v/>
      </c>
      <c r="G58" s="59">
        <f>IFERROR((AVERAGE(Metas!R108:R108)),"")</f>
        <v>1</v>
      </c>
      <c r="H58" s="59">
        <f t="shared" si="82"/>
        <v>0</v>
      </c>
      <c r="I58" s="59">
        <f t="shared" si="80"/>
        <v>0</v>
      </c>
      <c r="K58" s="83" t="str">
        <f t="shared" si="83"/>
        <v>PY.5 Reestructuración Organizacional académica y administrativa</v>
      </c>
      <c r="L58" s="201"/>
      <c r="M58" s="72">
        <f>SUMIFS(Plan!$N$3:$N$118,Plan!$A$3:$A$118,Plan!$E130)</f>
        <v>0</v>
      </c>
      <c r="N58" s="72">
        <f>SUMIFS(Plan!$O$3:$O$118,Plan!$A$3:$A$118,Plan!$E130)</f>
        <v>0</v>
      </c>
      <c r="O58" s="72">
        <f t="shared" si="84"/>
        <v>0</v>
      </c>
      <c r="P58" s="59" t="str">
        <f t="shared" si="96"/>
        <v/>
      </c>
      <c r="Q58" s="59"/>
      <c r="R58" s="59"/>
      <c r="S58" s="59">
        <f t="shared" si="85"/>
        <v>0</v>
      </c>
      <c r="U58" s="83" t="str">
        <f t="shared" si="86"/>
        <v>PY.5 Reestructuración Organizacional académica y administrativa</v>
      </c>
      <c r="V58" s="201"/>
      <c r="W58" s="72">
        <f>SUMIFS(Plan!$U$3:$U$118,Plan!$A$3:$A$118,Plan!$E164)</f>
        <v>0</v>
      </c>
      <c r="X58" s="72">
        <f>SUMIFS(Plan!$V$3:$V$118,Plan!$A$3:$A$118,Plan!$D164)</f>
        <v>0</v>
      </c>
      <c r="Y58" s="72">
        <f t="shared" si="87"/>
        <v>0</v>
      </c>
      <c r="Z58" s="59" t="str">
        <f t="shared" si="88"/>
        <v/>
      </c>
      <c r="AA58" s="59" t="str">
        <f>IFERROR((AVERAGE(Metas!AL108:AL108)),"")</f>
        <v/>
      </c>
      <c r="AB58" s="59"/>
      <c r="AC58" s="59">
        <f t="shared" si="90"/>
        <v>0</v>
      </c>
      <c r="AE58" s="83" t="str">
        <f t="shared" si="91"/>
        <v>PY.5 Reestructuración Organizacional académica y administrativa</v>
      </c>
      <c r="AF58" s="72">
        <f>SUMIFS(Plan!$Z$3:$Z$118,Plan!$A$3:$A$118,Plan!$D164)</f>
        <v>0</v>
      </c>
      <c r="AG58" s="72">
        <f>SUMIFS(Plan!$AA$3:$AA$118,Plan!$A$3:$A$118,Plan!$D164)</f>
        <v>0</v>
      </c>
      <c r="AH58" s="72">
        <f t="shared" si="92"/>
        <v>0</v>
      </c>
      <c r="AI58" s="59" t="str">
        <f t="shared" si="93"/>
        <v/>
      </c>
      <c r="AJ58" s="59">
        <f>Cumplimiento!AR38</f>
        <v>0</v>
      </c>
      <c r="AK58" s="59">
        <f t="shared" si="94"/>
        <v>0</v>
      </c>
    </row>
    <row r="59" spans="1:37" hidden="1" x14ac:dyDescent="0.25">
      <c r="A59" s="65" t="str">
        <f>Proyectos!B37</f>
        <v>PY.6 Desconcentración y delegación de los procesos administrativos y académicos</v>
      </c>
      <c r="B59" s="201"/>
      <c r="C59" s="72">
        <f>SUMIFS(Plan!$G$3:$G$118,Plan!$A$3:$A$118,Plan!$E131)</f>
        <v>0</v>
      </c>
      <c r="D59" s="72">
        <f>SUMIFS(Plan!$H$3:$H$118,Plan!$A$3:$A$118,Plan!$E131)</f>
        <v>0</v>
      </c>
      <c r="E59" s="72">
        <f t="shared" si="81"/>
        <v>0</v>
      </c>
      <c r="F59" s="59" t="str">
        <f t="shared" si="95"/>
        <v/>
      </c>
      <c r="G59" s="59">
        <f>IFERROR((AVERAGE(Metas!R109:R109)),"")</f>
        <v>9.058823529411765E-3</v>
      </c>
      <c r="H59" s="59">
        <f t="shared" si="82"/>
        <v>0</v>
      </c>
      <c r="I59" s="59">
        <f t="shared" si="80"/>
        <v>0</v>
      </c>
      <c r="K59" s="83" t="str">
        <f t="shared" si="83"/>
        <v>PY.6 Desconcentración y delegación de los procesos administrativos y académicos</v>
      </c>
      <c r="L59" s="201"/>
      <c r="M59" s="72">
        <f>SUMIFS(Plan!$N$3:$N$118,Plan!$A$3:$A$118,Plan!$E131)</f>
        <v>0</v>
      </c>
      <c r="N59" s="72">
        <f>SUMIFS(Plan!$O$3:$O$118,Plan!$A$3:$A$118,Plan!$E131)</f>
        <v>0</v>
      </c>
      <c r="O59" s="72">
        <f t="shared" si="84"/>
        <v>0</v>
      </c>
      <c r="P59" s="59" t="str">
        <f t="shared" si="96"/>
        <v/>
      </c>
      <c r="Q59" s="59"/>
      <c r="R59" s="59"/>
      <c r="S59" s="59">
        <f t="shared" si="85"/>
        <v>0</v>
      </c>
      <c r="U59" s="83" t="str">
        <f t="shared" si="86"/>
        <v>PY.6 Desconcentración y delegación de los procesos administrativos y académicos</v>
      </c>
      <c r="V59" s="201"/>
      <c r="W59" s="72">
        <f>SUMIFS(Plan!$U$3:$U$118,Plan!$A$3:$A$118,Plan!$E165)</f>
        <v>0</v>
      </c>
      <c r="X59" s="72">
        <f>SUMIFS(Plan!$V$3:$V$118,Plan!$A$3:$A$118,Plan!$D165)</f>
        <v>0</v>
      </c>
      <c r="Y59" s="72">
        <f t="shared" si="87"/>
        <v>0</v>
      </c>
      <c r="Z59" s="59" t="str">
        <f t="shared" si="88"/>
        <v/>
      </c>
      <c r="AA59" s="59" t="str">
        <f>IFERROR((AVERAGE(Metas!AL109:AL109)),"")</f>
        <v/>
      </c>
      <c r="AB59" s="59"/>
      <c r="AC59" s="59">
        <f t="shared" si="90"/>
        <v>0</v>
      </c>
      <c r="AE59" s="83" t="str">
        <f t="shared" si="91"/>
        <v>PY.6 Desconcentración y delegación de los procesos administrativos y académicos</v>
      </c>
      <c r="AF59" s="72">
        <f>SUMIFS(Plan!$Z$3:$Z$118,Plan!$A$3:$A$118,Plan!$D165)</f>
        <v>0</v>
      </c>
      <c r="AG59" s="72">
        <f>SUMIFS(Plan!$AA$3:$AA$118,Plan!$A$3:$A$118,Plan!$D165)</f>
        <v>0</v>
      </c>
      <c r="AH59" s="72">
        <f t="shared" si="92"/>
        <v>0</v>
      </c>
      <c r="AI59" s="59" t="str">
        <f t="shared" si="93"/>
        <v/>
      </c>
      <c r="AJ59" s="59">
        <f>Cumplimiento!AR39</f>
        <v>0</v>
      </c>
      <c r="AK59" s="59">
        <f t="shared" si="94"/>
        <v>0</v>
      </c>
    </row>
    <row r="60" spans="1:37" x14ac:dyDescent="0.25">
      <c r="A60" s="65" t="str">
        <f>Proyectos!B38</f>
        <v>PY.7 Formación y Capacitación del Personal Administrativo y Operativo</v>
      </c>
      <c r="B60" s="202">
        <v>0.2</v>
      </c>
      <c r="C60" s="72">
        <f>SUMIFS(Plan!$G$3:$G$118,Plan!$A$3:$A$118,Plan!$E132)</f>
        <v>90106833</v>
      </c>
      <c r="D60" s="72">
        <f>SUMIFS(Plan!$H$3:$H$118,Plan!$A$3:$A$118,Plan!$E132)</f>
        <v>90106833</v>
      </c>
      <c r="E60" s="72">
        <f t="shared" si="81"/>
        <v>0</v>
      </c>
      <c r="F60" s="59">
        <f>IFERROR((D60/C60),"")</f>
        <v>1</v>
      </c>
      <c r="G60" s="59">
        <f>IFERROR((AVERAGE(Metas!R121:R121)),"")</f>
        <v>0.76018099547511309</v>
      </c>
      <c r="H60" s="59">
        <f t="shared" si="82"/>
        <v>0.15203619909502264</v>
      </c>
      <c r="I60" s="59">
        <f t="shared" si="80"/>
        <v>0.88009049773755654</v>
      </c>
      <c r="K60" s="83" t="str">
        <f t="shared" si="83"/>
        <v>PY.7 Formación y Capacitación del Personal Administrativo y Operativo</v>
      </c>
      <c r="L60" s="202">
        <v>0.2</v>
      </c>
      <c r="M60" s="72">
        <f>SUMIFS(Plan!$N$3:$N$118,Plan!$A$3:$A$118,Plan!$E132)</f>
        <v>122370786</v>
      </c>
      <c r="N60" s="72">
        <f>SUMIFS(Plan!$O$3:$O$118,Plan!$A$3:$A$118,Plan!$E132)</f>
        <v>122370786</v>
      </c>
      <c r="O60" s="72">
        <f t="shared" si="84"/>
        <v>0</v>
      </c>
      <c r="P60" s="59">
        <f>IFERROR((N60/M60),"")</f>
        <v>1</v>
      </c>
      <c r="Q60" s="59">
        <f>IFERROR((AVERAGE(Metas!X121:X121)),"")</f>
        <v>1</v>
      </c>
      <c r="R60" s="59">
        <f>+Q60*L60</f>
        <v>0.2</v>
      </c>
      <c r="S60" s="59">
        <f t="shared" si="85"/>
        <v>1</v>
      </c>
      <c r="U60" s="83" t="str">
        <f t="shared" si="86"/>
        <v>PY.7 Formación y Capacitación del Personal Administrativo y Operativo</v>
      </c>
      <c r="V60" s="202">
        <v>0.2</v>
      </c>
      <c r="W60" s="72">
        <f>SUMIFS(Plan!$U$3:$U$118,Plan!$A$3:$A$118,Plan!$E132)</f>
        <v>177112364</v>
      </c>
      <c r="X60" s="72">
        <f>SUMIFS(Plan!$V$3:$V$118,Plan!$A$3:$A$118,Plan!$E132)</f>
        <v>177112364</v>
      </c>
      <c r="Y60" s="72">
        <f t="shared" si="87"/>
        <v>0</v>
      </c>
      <c r="Z60" s="59">
        <f t="shared" si="88"/>
        <v>1</v>
      </c>
      <c r="AA60" s="59">
        <f>IFERROR((AVERAGE(Metas!AD121:AD121)),"")</f>
        <v>1</v>
      </c>
      <c r="AB60" s="59">
        <f t="shared" si="89"/>
        <v>0.2</v>
      </c>
      <c r="AC60" s="59">
        <f t="shared" si="90"/>
        <v>1</v>
      </c>
      <c r="AE60" s="83" t="str">
        <f t="shared" si="91"/>
        <v>PY.7 Formación y Capacitación del Personal Administrativo y Operativo</v>
      </c>
      <c r="AF60" s="72">
        <f>SUMIFS(Plan!$Z$3:$Z$118,Plan!$A$3:$A$118,Plan!$D166)</f>
        <v>0</v>
      </c>
      <c r="AG60" s="72">
        <f>SUMIFS(Plan!$AA$3:$AA$118,Plan!$A$3:$A$118,Plan!$D166)</f>
        <v>0</v>
      </c>
      <c r="AH60" s="72">
        <f t="shared" si="92"/>
        <v>0</v>
      </c>
      <c r="AI60" s="59" t="str">
        <f t="shared" si="93"/>
        <v/>
      </c>
      <c r="AJ60" s="59">
        <f>Cumplimiento!AR40</f>
        <v>0.33333333333333337</v>
      </c>
      <c r="AK60" s="59">
        <f t="shared" si="94"/>
        <v>0</v>
      </c>
    </row>
    <row r="61" spans="1:37" x14ac:dyDescent="0.25">
      <c r="A61" s="86" t="s">
        <v>195</v>
      </c>
      <c r="B61" s="198">
        <f>SUM(B54:B60)</f>
        <v>1</v>
      </c>
      <c r="C61" s="90">
        <f>SUM(C54:C60)</f>
        <v>4425761392</v>
      </c>
      <c r="D61" s="90">
        <f>SUM(D54:D60)</f>
        <v>1359633084.1999998</v>
      </c>
      <c r="E61" s="90">
        <f>SUM(E54:E60)</f>
        <v>3066128307.8000002</v>
      </c>
      <c r="F61" s="59">
        <f>D61/C61</f>
        <v>0.307208853748345</v>
      </c>
      <c r="G61" s="59">
        <f>(G54+G55+G56+G60)/4</f>
        <v>0.84233771578294192</v>
      </c>
      <c r="H61" s="59">
        <f>SUM(H54:H60)</f>
        <v>0.83478715939201897</v>
      </c>
      <c r="I61" s="59">
        <f>+(H61+F61)/2</f>
        <v>0.57099800657018196</v>
      </c>
      <c r="K61" s="71" t="s">
        <v>195</v>
      </c>
      <c r="L61" s="198">
        <f>SUM(L54:L60)</f>
        <v>1</v>
      </c>
      <c r="M61" s="73">
        <f>SUM(M54:M60)</f>
        <v>8559903446.5</v>
      </c>
      <c r="N61" s="73">
        <f>SUM(N54:N60)</f>
        <v>1917866318</v>
      </c>
      <c r="O61" s="73">
        <f>SUM(O54:O60)</f>
        <v>6642037128.5</v>
      </c>
      <c r="P61" s="59">
        <f>IFERROR((N61/M61),"")</f>
        <v>0.22405233072858821</v>
      </c>
      <c r="Q61" s="59">
        <f>IFERROR((AVERAGE(Q54:Q60)),"")</f>
        <v>0.88426664777376307</v>
      </c>
      <c r="R61" s="59">
        <f>SUM(R54:R60)</f>
        <v>0.86111997732851586</v>
      </c>
      <c r="S61" s="59">
        <f>+(R61+P61)/2</f>
        <v>0.54258615402855204</v>
      </c>
      <c r="U61" s="71" t="s">
        <v>195</v>
      </c>
      <c r="V61" s="198">
        <f>SUM(V54:V60)</f>
        <v>1</v>
      </c>
      <c r="W61" s="73">
        <f>SUM(W54:W60)</f>
        <v>13121925568</v>
      </c>
      <c r="X61" s="73">
        <f>SUM(X54:X60)</f>
        <v>3151883826</v>
      </c>
      <c r="Y61" s="73">
        <f>SUM(Y54:Y60)</f>
        <v>9970041742</v>
      </c>
      <c r="Z61" s="59">
        <f t="shared" si="88"/>
        <v>0.24019979458551369</v>
      </c>
      <c r="AA61" s="59">
        <f>IFERROR((AVERAGE(AA54:AA60)),"")</f>
        <v>0.91696883862794076</v>
      </c>
      <c r="AB61" s="59">
        <f>SUM(AB54:AB60)</f>
        <v>0.90036260635352883</v>
      </c>
      <c r="AC61" s="59">
        <f>IFERROR(((Z61+AA61)/2),0)</f>
        <v>0.57858431660672727</v>
      </c>
      <c r="AE61" s="71" t="s">
        <v>195</v>
      </c>
      <c r="AF61" s="73">
        <f>SUM(AF54:AF60)</f>
        <v>0</v>
      </c>
      <c r="AG61" s="73">
        <f>SUM(AG54:AG60)</f>
        <v>0</v>
      </c>
      <c r="AH61" s="73">
        <f>SUM(AH54:AH60)</f>
        <v>0</v>
      </c>
      <c r="AI61" s="74" t="str">
        <f>IFERROR((AVERAGE(AI54:AI60)),"")</f>
        <v/>
      </c>
      <c r="AJ61" s="74">
        <f>IFERROR((AVERAGE(AJ54:AJ60)),"")</f>
        <v>0.26031746031746034</v>
      </c>
      <c r="AK61" s="74">
        <f>IFERROR((AVERAGE(AK54:AK60)),"")</f>
        <v>0</v>
      </c>
    </row>
    <row r="64" spans="1:37" x14ac:dyDescent="0.25">
      <c r="A64" s="312" t="s">
        <v>536</v>
      </c>
      <c r="B64" s="312"/>
      <c r="C64" s="312"/>
      <c r="D64" s="312"/>
      <c r="E64" s="312"/>
      <c r="F64" s="312"/>
    </row>
    <row r="66" spans="1:10" x14ac:dyDescent="0.25">
      <c r="A66" s="309" t="s">
        <v>293</v>
      </c>
      <c r="B66" s="310"/>
      <c r="C66" s="310"/>
      <c r="D66" s="310"/>
      <c r="E66" s="310"/>
      <c r="F66" s="311"/>
    </row>
    <row r="67" spans="1:10" x14ac:dyDescent="0.25">
      <c r="A67" s="86" t="s">
        <v>275</v>
      </c>
      <c r="B67" s="86" t="s">
        <v>819</v>
      </c>
      <c r="C67" s="86" t="s">
        <v>191</v>
      </c>
      <c r="D67" s="86" t="s">
        <v>831</v>
      </c>
      <c r="E67" s="86" t="s">
        <v>197</v>
      </c>
      <c r="F67" s="86" t="s">
        <v>832</v>
      </c>
      <c r="G67" s="86" t="s">
        <v>200</v>
      </c>
      <c r="H67" s="86" t="s">
        <v>833</v>
      </c>
      <c r="I67" s="86" t="s">
        <v>821</v>
      </c>
      <c r="J67" s="86" t="s">
        <v>834</v>
      </c>
    </row>
    <row r="68" spans="1:10" x14ac:dyDescent="0.25">
      <c r="A68" s="83" t="s">
        <v>538</v>
      </c>
      <c r="B68" s="194">
        <v>0.25</v>
      </c>
      <c r="C68" s="59">
        <f>+H10</f>
        <v>1</v>
      </c>
      <c r="D68" s="208">
        <f>+B68*C68</f>
        <v>0.25</v>
      </c>
      <c r="E68" s="59">
        <f>+R10</f>
        <v>0.98480000000000012</v>
      </c>
      <c r="F68" s="208">
        <f>+B68*E68</f>
        <v>0.24620000000000003</v>
      </c>
      <c r="G68" s="59">
        <f>+AA10</f>
        <v>1</v>
      </c>
      <c r="H68" s="208">
        <f>+G68*B68</f>
        <v>0.25</v>
      </c>
      <c r="I68" s="197" t="e">
        <f>#REF!</f>
        <v>#REF!</v>
      </c>
      <c r="J68" s="208"/>
    </row>
    <row r="69" spans="1:10" x14ac:dyDescent="0.25">
      <c r="A69" s="83" t="s">
        <v>537</v>
      </c>
      <c r="B69" s="194">
        <v>0.25</v>
      </c>
      <c r="C69" s="59">
        <f>+H24</f>
        <v>0.63747238156801178</v>
      </c>
      <c r="D69" s="208">
        <f t="shared" ref="D69:D72" si="97">+B69*C69</f>
        <v>0.15936809539200295</v>
      </c>
      <c r="E69" s="59">
        <f>+R24</f>
        <v>0.82873623295472032</v>
      </c>
      <c r="F69" s="208">
        <f t="shared" ref="F69:F72" si="98">+B69*E69</f>
        <v>0.20718405823868008</v>
      </c>
      <c r="G69" s="59">
        <f>+AA24</f>
        <v>0.77772206624416151</v>
      </c>
      <c r="H69" s="208">
        <f t="shared" ref="H69:H72" si="99">+G69*B69</f>
        <v>0.19443051656104038</v>
      </c>
      <c r="I69" s="197" t="e">
        <f>#REF!</f>
        <v>#REF!</v>
      </c>
      <c r="J69" s="208"/>
    </row>
    <row r="70" spans="1:10" x14ac:dyDescent="0.25">
      <c r="A70" s="83" t="s">
        <v>539</v>
      </c>
      <c r="B70" s="194">
        <v>0.25</v>
      </c>
      <c r="C70" s="59">
        <f>+H37</f>
        <v>0.93552398809523807</v>
      </c>
      <c r="D70" s="208">
        <f t="shared" si="97"/>
        <v>0.23388099702380952</v>
      </c>
      <c r="E70" s="59">
        <f>+R37</f>
        <v>0.95507866071428571</v>
      </c>
      <c r="F70" s="208">
        <f t="shared" si="98"/>
        <v>0.23876966517857143</v>
      </c>
      <c r="G70" s="59">
        <f>+AA37</f>
        <v>0.92533068783068784</v>
      </c>
      <c r="H70" s="208">
        <f t="shared" si="99"/>
        <v>0.23133267195767196</v>
      </c>
      <c r="I70" s="197" t="e">
        <f>#REF!</f>
        <v>#REF!</v>
      </c>
      <c r="J70" s="208"/>
    </row>
    <row r="71" spans="1:10" x14ac:dyDescent="0.25">
      <c r="A71" s="83" t="s">
        <v>540</v>
      </c>
      <c r="B71" s="194">
        <v>0.15</v>
      </c>
      <c r="C71" s="59">
        <f>+H49</f>
        <v>0.66837687748614105</v>
      </c>
      <c r="D71" s="208">
        <f t="shared" si="97"/>
        <v>0.10025653162292116</v>
      </c>
      <c r="E71" s="59">
        <f>+R49</f>
        <v>0.71315241533489715</v>
      </c>
      <c r="F71" s="208">
        <f t="shared" si="98"/>
        <v>0.10697286230023458</v>
      </c>
      <c r="G71" s="59">
        <f>+AA49</f>
        <v>0.81197124257940334</v>
      </c>
      <c r="H71" s="208">
        <f t="shared" si="99"/>
        <v>0.12179568638691049</v>
      </c>
      <c r="I71" s="197" t="e">
        <f>#REF!</f>
        <v>#REF!</v>
      </c>
      <c r="J71" s="208"/>
    </row>
    <row r="72" spans="1:10" x14ac:dyDescent="0.25">
      <c r="A72" s="83" t="s">
        <v>541</v>
      </c>
      <c r="B72" s="194">
        <v>0.1</v>
      </c>
      <c r="C72" s="59">
        <f>+H61</f>
        <v>0.83478715939201897</v>
      </c>
      <c r="D72" s="208">
        <f t="shared" si="97"/>
        <v>8.3478715939201906E-2</v>
      </c>
      <c r="E72" s="59">
        <f>+R61</f>
        <v>0.86111997732851586</v>
      </c>
      <c r="F72" s="208">
        <f t="shared" si="98"/>
        <v>8.6111997732851595E-2</v>
      </c>
      <c r="G72" s="59">
        <f>+AA61</f>
        <v>0.91696883862794076</v>
      </c>
      <c r="H72" s="208">
        <f t="shared" si="99"/>
        <v>9.1696883862794079E-2</v>
      </c>
      <c r="I72" s="197" t="e">
        <f>#REF!</f>
        <v>#REF!</v>
      </c>
      <c r="J72" s="208"/>
    </row>
    <row r="73" spans="1:10" x14ac:dyDescent="0.25">
      <c r="A73" s="86" t="s">
        <v>195</v>
      </c>
      <c r="B73" s="198">
        <f>SUM(B68:B72)</f>
        <v>1</v>
      </c>
      <c r="C73" s="208"/>
      <c r="D73" s="59">
        <f>SUM(D68:D72)</f>
        <v>0.82698433997793541</v>
      </c>
      <c r="E73" s="208"/>
      <c r="F73" s="59">
        <f>SUM(F68:F72)</f>
        <v>0.88523858345033779</v>
      </c>
      <c r="G73" s="208"/>
      <c r="H73" s="59">
        <f>SUM(H68:H72)</f>
        <v>0.88925575876841689</v>
      </c>
      <c r="I73" s="208"/>
      <c r="J73" s="59">
        <f>SUM(J68:J72)</f>
        <v>0</v>
      </c>
    </row>
    <row r="75" spans="1:10" x14ac:dyDescent="0.25">
      <c r="A75" s="309" t="s">
        <v>625</v>
      </c>
      <c r="B75" s="310"/>
      <c r="C75" s="310"/>
      <c r="D75" s="310"/>
      <c r="E75" s="310"/>
      <c r="F75" s="311"/>
    </row>
    <row r="76" spans="1:10" x14ac:dyDescent="0.25">
      <c r="A76" s="86" t="s">
        <v>275</v>
      </c>
      <c r="B76" s="86" t="s">
        <v>819</v>
      </c>
      <c r="C76" s="86" t="s">
        <v>191</v>
      </c>
      <c r="D76" s="86" t="s">
        <v>831</v>
      </c>
      <c r="E76" s="86" t="s">
        <v>197</v>
      </c>
      <c r="F76" s="86" t="s">
        <v>832</v>
      </c>
      <c r="G76" s="86" t="s">
        <v>200</v>
      </c>
      <c r="H76" s="86" t="s">
        <v>833</v>
      </c>
      <c r="I76" s="86" t="s">
        <v>821</v>
      </c>
      <c r="J76" s="86" t="s">
        <v>834</v>
      </c>
    </row>
    <row r="77" spans="1:10" x14ac:dyDescent="0.25">
      <c r="A77" s="83" t="str">
        <f>A68</f>
        <v>SUBSISTEMA DE FORMACIÓN</v>
      </c>
      <c r="B77" s="194">
        <v>0.25</v>
      </c>
      <c r="C77" s="59">
        <f>+F10</f>
        <v>0.8289050142198513</v>
      </c>
      <c r="D77" s="208">
        <f>+B77*C77</f>
        <v>0.20722625355496282</v>
      </c>
      <c r="E77" s="59">
        <f>+P10</f>
        <v>0.84651734398937251</v>
      </c>
      <c r="F77" s="208">
        <f>+B77*E77</f>
        <v>0.21162933599734313</v>
      </c>
      <c r="G77" s="59">
        <f>+Z10</f>
        <v>0.88455084736707512</v>
      </c>
      <c r="H77" s="208">
        <f>+G77*B77</f>
        <v>0.22113771184176878</v>
      </c>
      <c r="I77" s="197" t="e">
        <f>#REF!</f>
        <v>#REF!</v>
      </c>
      <c r="J77" s="208"/>
    </row>
    <row r="78" spans="1:10" x14ac:dyDescent="0.25">
      <c r="A78" s="83" t="str">
        <f>A69</f>
        <v>SUBSISTEMA DE INVESTIGACIÓN</v>
      </c>
      <c r="B78" s="194">
        <v>0.25</v>
      </c>
      <c r="C78" s="59">
        <f>+F24</f>
        <v>0.62588255779494273</v>
      </c>
      <c r="D78" s="208">
        <f t="shared" ref="D78:D81" si="100">+B78*C78</f>
        <v>0.15647063944873568</v>
      </c>
      <c r="E78" s="59">
        <f>+P24</f>
        <v>0.67862848055804326</v>
      </c>
      <c r="F78" s="208">
        <f t="shared" ref="F78:F81" si="101">+B78*E78</f>
        <v>0.16965712013951081</v>
      </c>
      <c r="G78" s="59">
        <f>+Z24</f>
        <v>0.66607072068904838</v>
      </c>
      <c r="H78" s="208">
        <f t="shared" ref="H78:H81" si="102">+G78*B78</f>
        <v>0.16651768017226209</v>
      </c>
      <c r="I78" s="197" t="e">
        <f>#REF!</f>
        <v>#REF!</v>
      </c>
      <c r="J78" s="208"/>
    </row>
    <row r="79" spans="1:10" x14ac:dyDescent="0.25">
      <c r="A79" s="83" t="str">
        <f>A70</f>
        <v>SUBSISTEMA DE PROYECCIÓN SOCIAL</v>
      </c>
      <c r="B79" s="194">
        <v>0.25</v>
      </c>
      <c r="C79" s="59">
        <f>+F37</f>
        <v>0.95685157065516901</v>
      </c>
      <c r="D79" s="208">
        <f t="shared" si="100"/>
        <v>0.23921289266379225</v>
      </c>
      <c r="E79" s="59">
        <f>+P37</f>
        <v>0.9403641809781963</v>
      </c>
      <c r="F79" s="208">
        <f t="shared" si="101"/>
        <v>0.23509104524454907</v>
      </c>
      <c r="G79" s="59">
        <f>+Z37</f>
        <v>0.91613617712311779</v>
      </c>
      <c r="H79" s="208">
        <f t="shared" si="102"/>
        <v>0.22903404428077945</v>
      </c>
      <c r="I79" s="197" t="e">
        <f>#REF!</f>
        <v>#REF!</v>
      </c>
      <c r="J79" s="208"/>
    </row>
    <row r="80" spans="1:10" x14ac:dyDescent="0.25">
      <c r="A80" s="83" t="str">
        <f>A71</f>
        <v>SUBSISTEMA DE BIENESTAR UNIVERSITARIO</v>
      </c>
      <c r="B80" s="194">
        <v>0.15</v>
      </c>
      <c r="C80" s="59">
        <f>+F49</f>
        <v>0.98874229098212041</v>
      </c>
      <c r="D80" s="208">
        <f t="shared" si="100"/>
        <v>0.14831134364731804</v>
      </c>
      <c r="E80" s="59">
        <f>+P49</f>
        <v>0.95744077829756347</v>
      </c>
      <c r="F80" s="208">
        <f t="shared" si="101"/>
        <v>0.14361611674463451</v>
      </c>
      <c r="G80" s="59">
        <f>+Z49</f>
        <v>0.98524716069465912</v>
      </c>
      <c r="H80" s="208">
        <f t="shared" si="102"/>
        <v>0.14778707410419886</v>
      </c>
      <c r="I80" s="197" t="e">
        <f>#REF!</f>
        <v>#REF!</v>
      </c>
      <c r="J80" s="208"/>
    </row>
    <row r="81" spans="1:10" x14ac:dyDescent="0.25">
      <c r="A81" s="83" t="str">
        <f>A72</f>
        <v>SUBSISTEMA ADMINISTRATIVO</v>
      </c>
      <c r="B81" s="194">
        <v>0.1</v>
      </c>
      <c r="C81" s="59">
        <f>+F61</f>
        <v>0.307208853748345</v>
      </c>
      <c r="D81" s="208">
        <f t="shared" si="100"/>
        <v>3.07208853748345E-2</v>
      </c>
      <c r="E81" s="59">
        <f>+P61</f>
        <v>0.22405233072858821</v>
      </c>
      <c r="F81" s="208">
        <f t="shared" si="101"/>
        <v>2.2405233072858823E-2</v>
      </c>
      <c r="G81" s="59">
        <f>+Z61</f>
        <v>0.24019979458551369</v>
      </c>
      <c r="H81" s="208">
        <f t="shared" si="102"/>
        <v>2.4019979458551371E-2</v>
      </c>
      <c r="I81" s="197" t="e">
        <f>#REF!</f>
        <v>#REF!</v>
      </c>
      <c r="J81" s="208"/>
    </row>
    <row r="82" spans="1:10" x14ac:dyDescent="0.25">
      <c r="A82" s="86" t="s">
        <v>195</v>
      </c>
      <c r="B82" s="198">
        <f>SUM(B77:B81)</f>
        <v>1</v>
      </c>
      <c r="C82" s="208"/>
      <c r="D82" s="59">
        <f>SUM(D77:D81)</f>
        <v>0.78194201468964331</v>
      </c>
      <c r="E82" s="208"/>
      <c r="F82" s="59">
        <f>SUM(F77:F81)</f>
        <v>0.78239885119889629</v>
      </c>
      <c r="G82" s="208"/>
      <c r="H82" s="59">
        <f>SUM(H77:H81)</f>
        <v>0.7884964898575606</v>
      </c>
      <c r="I82" s="208"/>
      <c r="J82" s="59">
        <f>SUM(J77:J81)</f>
        <v>0</v>
      </c>
    </row>
    <row r="84" spans="1:10" x14ac:dyDescent="0.25">
      <c r="A84" s="309" t="s">
        <v>626</v>
      </c>
      <c r="B84" s="310"/>
      <c r="C84" s="310"/>
      <c r="D84" s="310"/>
      <c r="E84" s="310"/>
      <c r="F84" s="311"/>
    </row>
    <row r="85" spans="1:10" x14ac:dyDescent="0.25">
      <c r="A85" s="86" t="s">
        <v>275</v>
      </c>
      <c r="B85" s="86" t="s">
        <v>819</v>
      </c>
      <c r="C85" s="86" t="s">
        <v>191</v>
      </c>
      <c r="D85" s="86" t="s">
        <v>831</v>
      </c>
      <c r="E85" s="86" t="s">
        <v>197</v>
      </c>
      <c r="F85" s="86" t="s">
        <v>832</v>
      </c>
      <c r="G85" s="86" t="s">
        <v>200</v>
      </c>
      <c r="H85" s="86" t="s">
        <v>833</v>
      </c>
      <c r="I85" s="86" t="s">
        <v>821</v>
      </c>
      <c r="J85" s="86" t="s">
        <v>834</v>
      </c>
    </row>
    <row r="86" spans="1:10" x14ac:dyDescent="0.25">
      <c r="A86" s="83" t="str">
        <f>A77</f>
        <v>SUBSISTEMA DE FORMACIÓN</v>
      </c>
      <c r="B86" s="194">
        <v>0.25</v>
      </c>
      <c r="C86" s="59">
        <f>+I10</f>
        <v>0.91445250710992565</v>
      </c>
      <c r="D86" s="208">
        <f>+B86*C86</f>
        <v>0.22861312677748141</v>
      </c>
      <c r="E86" s="59">
        <f>+S10</f>
        <v>0.91565867199468631</v>
      </c>
      <c r="F86" s="208">
        <f>+B86*E86</f>
        <v>0.22891466799867158</v>
      </c>
      <c r="G86" s="59">
        <f>+AC10</f>
        <v>0.94227542368353756</v>
      </c>
      <c r="H86" s="208">
        <f>+G86*B86</f>
        <v>0.23556885592088439</v>
      </c>
      <c r="I86" s="197" t="e">
        <f>#REF!</f>
        <v>#REF!</v>
      </c>
      <c r="J86" s="208"/>
    </row>
    <row r="87" spans="1:10" x14ac:dyDescent="0.25">
      <c r="A87" s="83" t="str">
        <f>A78</f>
        <v>SUBSISTEMA DE INVESTIGACIÓN</v>
      </c>
      <c r="B87" s="194">
        <v>0.25</v>
      </c>
      <c r="C87" s="59">
        <f>+I24</f>
        <v>0.63167746968147731</v>
      </c>
      <c r="D87" s="208">
        <f t="shared" ref="D87:D90" si="103">+B87*C87</f>
        <v>0.15791936742036933</v>
      </c>
      <c r="E87" s="59">
        <f>+S24</f>
        <v>0.75368235675638173</v>
      </c>
      <c r="F87" s="208">
        <f t="shared" ref="F87:F90" si="104">+B87*E87</f>
        <v>0.18842058918909543</v>
      </c>
      <c r="G87" s="59">
        <f>+AC24</f>
        <v>0.72189639346660495</v>
      </c>
      <c r="H87" s="208">
        <f t="shared" ref="H87:H90" si="105">+G87*B87</f>
        <v>0.18047409836665124</v>
      </c>
      <c r="I87" s="197" t="e">
        <f>#REF!</f>
        <v>#REF!</v>
      </c>
      <c r="J87" s="208"/>
    </row>
    <row r="88" spans="1:10" x14ac:dyDescent="0.25">
      <c r="A88" s="83" t="str">
        <f>A79</f>
        <v>SUBSISTEMA DE PROYECCIÓN SOCIAL</v>
      </c>
      <c r="B88" s="194">
        <v>0.25</v>
      </c>
      <c r="C88" s="59">
        <f>+I37</f>
        <v>0.9461877793752036</v>
      </c>
      <c r="D88" s="208">
        <f t="shared" si="103"/>
        <v>0.2365469448438009</v>
      </c>
      <c r="E88" s="59">
        <f>+S37</f>
        <v>0.947721420846241</v>
      </c>
      <c r="F88" s="208">
        <f t="shared" si="104"/>
        <v>0.23693035521156025</v>
      </c>
      <c r="G88" s="59">
        <f>+AC37</f>
        <v>0.92073343247690276</v>
      </c>
      <c r="H88" s="208">
        <f t="shared" si="105"/>
        <v>0.23018335811922569</v>
      </c>
      <c r="I88" s="197" t="e">
        <f>#REF!</f>
        <v>#REF!</v>
      </c>
      <c r="J88" s="208"/>
    </row>
    <row r="89" spans="1:10" x14ac:dyDescent="0.25">
      <c r="A89" s="83" t="str">
        <f>A80</f>
        <v>SUBSISTEMA DE BIENESTAR UNIVERSITARIO</v>
      </c>
      <c r="B89" s="194">
        <v>0.15</v>
      </c>
      <c r="C89" s="59">
        <f>+I49</f>
        <v>0.82855958423413067</v>
      </c>
      <c r="D89" s="208">
        <f t="shared" si="103"/>
        <v>0.12428393763511959</v>
      </c>
      <c r="E89" s="59">
        <f>+S49</f>
        <v>0.83529659681623025</v>
      </c>
      <c r="F89" s="208">
        <f t="shared" si="104"/>
        <v>0.12529448952243452</v>
      </c>
      <c r="G89" s="59">
        <f>+AC49</f>
        <v>0.89860920163703129</v>
      </c>
      <c r="H89" s="208">
        <f t="shared" si="105"/>
        <v>0.13479138024555468</v>
      </c>
      <c r="I89" s="197" t="e">
        <f>#REF!</f>
        <v>#REF!</v>
      </c>
      <c r="J89" s="208"/>
    </row>
    <row r="90" spans="1:10" x14ac:dyDescent="0.25">
      <c r="A90" s="83" t="str">
        <f>A81</f>
        <v>SUBSISTEMA ADMINISTRATIVO</v>
      </c>
      <c r="B90" s="194">
        <v>0.1</v>
      </c>
      <c r="C90" s="59">
        <f>+I61</f>
        <v>0.57099800657018196</v>
      </c>
      <c r="D90" s="208">
        <f t="shared" si="103"/>
        <v>5.7099800657018196E-2</v>
      </c>
      <c r="E90" s="59">
        <f>+S61</f>
        <v>0.54258615402855204</v>
      </c>
      <c r="F90" s="208">
        <f t="shared" si="104"/>
        <v>5.4258615402855204E-2</v>
      </c>
      <c r="G90" s="59">
        <f>+AC61</f>
        <v>0.57858431660672727</v>
      </c>
      <c r="H90" s="208">
        <f t="shared" si="105"/>
        <v>5.7858431660672727E-2</v>
      </c>
      <c r="I90" s="197" t="e">
        <f>#REF!</f>
        <v>#REF!</v>
      </c>
      <c r="J90" s="208"/>
    </row>
    <row r="91" spans="1:10" x14ac:dyDescent="0.25">
      <c r="A91" s="86" t="s">
        <v>195</v>
      </c>
      <c r="B91" s="198">
        <f>SUM(B86:B90)</f>
        <v>1</v>
      </c>
      <c r="C91" s="208"/>
      <c r="D91" s="59">
        <f>SUM(D86:D90)</f>
        <v>0.80446317733378936</v>
      </c>
      <c r="E91" s="208"/>
      <c r="F91" s="59">
        <f>SUM(F86:F90)</f>
        <v>0.83381871732461699</v>
      </c>
      <c r="G91" s="208"/>
      <c r="H91" s="59">
        <f>SUM(H86:H90)</f>
        <v>0.83887612431298875</v>
      </c>
      <c r="I91" s="208"/>
      <c r="J91" s="59">
        <f>SUM(J86:J90)</f>
        <v>0</v>
      </c>
    </row>
  </sheetData>
  <customSheetViews>
    <customSheetView guid="{FC774746-3857-4381-B35D-AC071296263D}" scale="70" hiddenRows="1" topLeftCell="B103">
      <selection activeCell="K148" sqref="K148"/>
      <pageMargins left="0.7" right="0.7" top="0.75" bottom="0.75" header="0.3" footer="0.3"/>
      <pageSetup paperSize="9" orientation="portrait" r:id="rId1"/>
    </customSheetView>
  </customSheetViews>
  <mergeCells count="24">
    <mergeCell ref="AE1:AK1"/>
    <mergeCell ref="A1:I1"/>
    <mergeCell ref="K1:S1"/>
    <mergeCell ref="U1:AC1"/>
    <mergeCell ref="A13:I13"/>
    <mergeCell ref="K13:S13"/>
    <mergeCell ref="U13:AC13"/>
    <mergeCell ref="AE13:AK13"/>
    <mergeCell ref="A27:I27"/>
    <mergeCell ref="K27:S27"/>
    <mergeCell ref="U27:AC27"/>
    <mergeCell ref="AE27:AK27"/>
    <mergeCell ref="A40:I40"/>
    <mergeCell ref="K40:S40"/>
    <mergeCell ref="U40:AC40"/>
    <mergeCell ref="AE40:AK40"/>
    <mergeCell ref="A52:I52"/>
    <mergeCell ref="K52:S52"/>
    <mergeCell ref="U52:AC52"/>
    <mergeCell ref="AE52:AK52"/>
    <mergeCell ref="A84:F84"/>
    <mergeCell ref="A66:F66"/>
    <mergeCell ref="A75:F75"/>
    <mergeCell ref="A64:F64"/>
  </mergeCells>
  <conditionalFormatting sqref="AA24">
    <cfRule type="cellIs" dxfId="379" priority="371" operator="lessThanOrEqual">
      <formula>32.99%</formula>
    </cfRule>
    <cfRule type="cellIs" dxfId="378" priority="372" operator="between">
      <formula>33%</formula>
      <formula>74.99%</formula>
    </cfRule>
    <cfRule type="cellIs" dxfId="377" priority="373" operator="between">
      <formula>75%</formula>
      <formula>99.99%</formula>
    </cfRule>
    <cfRule type="cellIs" dxfId="376" priority="374" operator="greaterThanOrEqual">
      <formula>100%</formula>
    </cfRule>
    <cfRule type="cellIs" dxfId="375" priority="375" operator="equal">
      <formula>0%</formula>
    </cfRule>
  </conditionalFormatting>
  <conditionalFormatting sqref="AA15:AA23">
    <cfRule type="cellIs" dxfId="374" priority="316" operator="lessThanOrEqual">
      <formula>32.99%</formula>
    </cfRule>
    <cfRule type="cellIs" dxfId="373" priority="317" operator="between">
      <formula>33%</formula>
      <formula>74.99%</formula>
    </cfRule>
    <cfRule type="cellIs" dxfId="372" priority="318" operator="between">
      <formula>75%</formula>
      <formula>99.99%</formula>
    </cfRule>
    <cfRule type="cellIs" dxfId="371" priority="319" operator="greaterThanOrEqual">
      <formula>100%</formula>
    </cfRule>
    <cfRule type="cellIs" dxfId="370" priority="320" operator="equal">
      <formula>0%</formula>
    </cfRule>
  </conditionalFormatting>
  <conditionalFormatting sqref="Z15:Z24">
    <cfRule type="cellIs" dxfId="369" priority="311" operator="lessThanOrEqual">
      <formula>32.99%</formula>
    </cfRule>
    <cfRule type="cellIs" dxfId="368" priority="312" operator="between">
      <formula>33%</formula>
      <formula>74.99%</formula>
    </cfRule>
    <cfRule type="cellIs" dxfId="367" priority="313" operator="between">
      <formula>75%</formula>
      <formula>99.99%</formula>
    </cfRule>
    <cfRule type="cellIs" dxfId="366" priority="314" operator="greaterThanOrEqual">
      <formula>100%</formula>
    </cfRule>
    <cfRule type="cellIs" dxfId="365" priority="315" operator="equal">
      <formula>0%</formula>
    </cfRule>
  </conditionalFormatting>
  <conditionalFormatting sqref="Z3:AA10">
    <cfRule type="cellIs" dxfId="364" priority="306" operator="lessThanOrEqual">
      <formula>32.99%</formula>
    </cfRule>
    <cfRule type="cellIs" dxfId="363" priority="307" operator="between">
      <formula>33%</formula>
      <formula>74.99%</formula>
    </cfRule>
    <cfRule type="cellIs" dxfId="362" priority="308" operator="between">
      <formula>75%</formula>
      <formula>99.99%</formula>
    </cfRule>
    <cfRule type="cellIs" dxfId="361" priority="309" operator="greaterThanOrEqual">
      <formula>100%</formula>
    </cfRule>
    <cfRule type="cellIs" dxfId="360" priority="310" operator="equal">
      <formula>0%</formula>
    </cfRule>
  </conditionalFormatting>
  <conditionalFormatting sqref="AC3:AC10">
    <cfRule type="cellIs" dxfId="359" priority="301" operator="lessThanOrEqual">
      <formula>32.99%</formula>
    </cfRule>
    <cfRule type="cellIs" dxfId="358" priority="302" operator="between">
      <formula>33%</formula>
      <formula>74.99%</formula>
    </cfRule>
    <cfRule type="cellIs" dxfId="357" priority="303" operator="between">
      <formula>75%</formula>
      <formula>99.99%</formula>
    </cfRule>
    <cfRule type="cellIs" dxfId="356" priority="304" operator="greaterThanOrEqual">
      <formula>100%</formula>
    </cfRule>
    <cfRule type="cellIs" dxfId="355" priority="305" operator="equal">
      <formula>0%</formula>
    </cfRule>
  </conditionalFormatting>
  <conditionalFormatting sqref="AC15:AC24">
    <cfRule type="cellIs" dxfId="354" priority="296" operator="lessThanOrEqual">
      <formula>32.99%</formula>
    </cfRule>
    <cfRule type="cellIs" dxfId="353" priority="297" operator="between">
      <formula>33%</formula>
      <formula>74.99%</formula>
    </cfRule>
    <cfRule type="cellIs" dxfId="352" priority="298" operator="between">
      <formula>75%</formula>
      <formula>99.99%</formula>
    </cfRule>
    <cfRule type="cellIs" dxfId="351" priority="299" operator="greaterThanOrEqual">
      <formula>100%</formula>
    </cfRule>
    <cfRule type="cellIs" dxfId="350" priority="300" operator="equal">
      <formula>0%</formula>
    </cfRule>
  </conditionalFormatting>
  <conditionalFormatting sqref="AB24">
    <cfRule type="cellIs" dxfId="349" priority="291" operator="lessThanOrEqual">
      <formula>32.99%</formula>
    </cfRule>
    <cfRule type="cellIs" dxfId="348" priority="292" operator="between">
      <formula>33%</formula>
      <formula>74.99%</formula>
    </cfRule>
    <cfRule type="cellIs" dxfId="347" priority="293" operator="between">
      <formula>75%</formula>
      <formula>99.99%</formula>
    </cfRule>
    <cfRule type="cellIs" dxfId="346" priority="294" operator="greaterThanOrEqual">
      <formula>100%</formula>
    </cfRule>
    <cfRule type="cellIs" dxfId="345" priority="295" operator="equal">
      <formula>0%</formula>
    </cfRule>
  </conditionalFormatting>
  <conditionalFormatting sqref="AB10">
    <cfRule type="cellIs" dxfId="344" priority="286" operator="lessThanOrEqual">
      <formula>32.99%</formula>
    </cfRule>
    <cfRule type="cellIs" dxfId="343" priority="287" operator="between">
      <formula>33%</formula>
      <formula>74.99%</formula>
    </cfRule>
    <cfRule type="cellIs" dxfId="342" priority="288" operator="between">
      <formula>75%</formula>
      <formula>99.99%</formula>
    </cfRule>
    <cfRule type="cellIs" dxfId="341" priority="289" operator="greaterThanOrEqual">
      <formula>100%</formula>
    </cfRule>
    <cfRule type="cellIs" dxfId="340" priority="290" operator="equal">
      <formula>0%</formula>
    </cfRule>
  </conditionalFormatting>
  <conditionalFormatting sqref="Z29:AA37">
    <cfRule type="cellIs" dxfId="339" priority="281" operator="lessThanOrEqual">
      <formula>32.99%</formula>
    </cfRule>
    <cfRule type="cellIs" dxfId="338" priority="282" operator="between">
      <formula>33%</formula>
      <formula>74.99%</formula>
    </cfRule>
    <cfRule type="cellIs" dxfId="337" priority="283" operator="between">
      <formula>75%</formula>
      <formula>99.99%</formula>
    </cfRule>
    <cfRule type="cellIs" dxfId="336" priority="284" operator="greaterThanOrEqual">
      <formula>100%</formula>
    </cfRule>
    <cfRule type="cellIs" dxfId="335" priority="285" operator="equal">
      <formula>0%</formula>
    </cfRule>
  </conditionalFormatting>
  <conditionalFormatting sqref="AC29:AC37">
    <cfRule type="cellIs" dxfId="334" priority="276" operator="lessThanOrEqual">
      <formula>32.99%</formula>
    </cfRule>
    <cfRule type="cellIs" dxfId="333" priority="277" operator="between">
      <formula>33%</formula>
      <formula>74.99%</formula>
    </cfRule>
    <cfRule type="cellIs" dxfId="332" priority="278" operator="between">
      <formula>75%</formula>
      <formula>99.99%</formula>
    </cfRule>
    <cfRule type="cellIs" dxfId="331" priority="279" operator="greaterThanOrEqual">
      <formula>100%</formula>
    </cfRule>
    <cfRule type="cellIs" dxfId="330" priority="280" operator="equal">
      <formula>0%</formula>
    </cfRule>
  </conditionalFormatting>
  <conditionalFormatting sqref="AB37">
    <cfRule type="cellIs" dxfId="329" priority="271" operator="lessThanOrEqual">
      <formula>32.99%</formula>
    </cfRule>
    <cfRule type="cellIs" dxfId="328" priority="272" operator="between">
      <formula>33%</formula>
      <formula>74.99%</formula>
    </cfRule>
    <cfRule type="cellIs" dxfId="327" priority="273" operator="between">
      <formula>75%</formula>
      <formula>99.99%</formula>
    </cfRule>
    <cfRule type="cellIs" dxfId="326" priority="274" operator="greaterThanOrEqual">
      <formula>100%</formula>
    </cfRule>
    <cfRule type="cellIs" dxfId="325" priority="275" operator="equal">
      <formula>0%</formula>
    </cfRule>
  </conditionalFormatting>
  <conditionalFormatting sqref="Z42:AA49">
    <cfRule type="cellIs" dxfId="324" priority="266" operator="lessThanOrEqual">
      <formula>32.99%</formula>
    </cfRule>
    <cfRule type="cellIs" dxfId="323" priority="267" operator="between">
      <formula>33%</formula>
      <formula>74.99%</formula>
    </cfRule>
    <cfRule type="cellIs" dxfId="322" priority="268" operator="between">
      <formula>75%</formula>
      <formula>99.99%</formula>
    </cfRule>
    <cfRule type="cellIs" dxfId="321" priority="269" operator="greaterThanOrEqual">
      <formula>100%</formula>
    </cfRule>
    <cfRule type="cellIs" dxfId="320" priority="270" operator="equal">
      <formula>0%</formula>
    </cfRule>
  </conditionalFormatting>
  <conditionalFormatting sqref="AC42:AC49">
    <cfRule type="cellIs" dxfId="319" priority="261" operator="lessThanOrEqual">
      <formula>32.99%</formula>
    </cfRule>
    <cfRule type="cellIs" dxfId="318" priority="262" operator="between">
      <formula>33%</formula>
      <formula>74.99%</formula>
    </cfRule>
    <cfRule type="cellIs" dxfId="317" priority="263" operator="between">
      <formula>75%</formula>
      <formula>99.99%</formula>
    </cfRule>
    <cfRule type="cellIs" dxfId="316" priority="264" operator="greaterThanOrEqual">
      <formula>100%</formula>
    </cfRule>
    <cfRule type="cellIs" dxfId="315" priority="265" operator="equal">
      <formula>0%</formula>
    </cfRule>
  </conditionalFormatting>
  <conditionalFormatting sqref="AB49">
    <cfRule type="cellIs" dxfId="314" priority="256" operator="lessThanOrEqual">
      <formula>32.99%</formula>
    </cfRule>
    <cfRule type="cellIs" dxfId="313" priority="257" operator="between">
      <formula>33%</formula>
      <formula>74.99%</formula>
    </cfRule>
    <cfRule type="cellIs" dxfId="312" priority="258" operator="between">
      <formula>75%</formula>
      <formula>99.99%</formula>
    </cfRule>
    <cfRule type="cellIs" dxfId="311" priority="259" operator="greaterThanOrEqual">
      <formula>100%</formula>
    </cfRule>
    <cfRule type="cellIs" dxfId="310" priority="260" operator="equal">
      <formula>0%</formula>
    </cfRule>
  </conditionalFormatting>
  <conditionalFormatting sqref="Z54:AA61">
    <cfRule type="cellIs" dxfId="309" priority="251" operator="lessThanOrEqual">
      <formula>32.99%</formula>
    </cfRule>
    <cfRule type="cellIs" dxfId="308" priority="252" operator="between">
      <formula>33%</formula>
      <formula>74.99%</formula>
    </cfRule>
    <cfRule type="cellIs" dxfId="307" priority="253" operator="between">
      <formula>75%</formula>
      <formula>99.99%</formula>
    </cfRule>
    <cfRule type="cellIs" dxfId="306" priority="254" operator="greaterThanOrEqual">
      <formula>100%</formula>
    </cfRule>
    <cfRule type="cellIs" dxfId="305" priority="255" operator="equal">
      <formula>0%</formula>
    </cfRule>
  </conditionalFormatting>
  <conditionalFormatting sqref="AB61">
    <cfRule type="cellIs" dxfId="304" priority="246" operator="lessThanOrEqual">
      <formula>32.99%</formula>
    </cfRule>
    <cfRule type="cellIs" dxfId="303" priority="247" operator="between">
      <formula>33%</formula>
      <formula>74.99%</formula>
    </cfRule>
    <cfRule type="cellIs" dxfId="302" priority="248" operator="between">
      <formula>75%</formula>
      <formula>99.99%</formula>
    </cfRule>
    <cfRule type="cellIs" dxfId="301" priority="249" operator="greaterThanOrEqual">
      <formula>100%</formula>
    </cfRule>
    <cfRule type="cellIs" dxfId="300" priority="250" operator="equal">
      <formula>0%</formula>
    </cfRule>
  </conditionalFormatting>
  <conditionalFormatting sqref="AC54:AC61">
    <cfRule type="cellIs" dxfId="299" priority="241" operator="lessThanOrEqual">
      <formula>32.99%</formula>
    </cfRule>
    <cfRule type="cellIs" dxfId="298" priority="242" operator="between">
      <formula>33%</formula>
      <formula>74.99%</formula>
    </cfRule>
    <cfRule type="cellIs" dxfId="297" priority="243" operator="between">
      <formula>75%</formula>
      <formula>99.99%</formula>
    </cfRule>
    <cfRule type="cellIs" dxfId="296" priority="244" operator="greaterThanOrEqual">
      <formula>100%</formula>
    </cfRule>
    <cfRule type="cellIs" dxfId="295" priority="245" operator="equal">
      <formula>0%</formula>
    </cfRule>
  </conditionalFormatting>
  <conditionalFormatting sqref="P3:Q10">
    <cfRule type="cellIs" dxfId="294" priority="236" operator="lessThanOrEqual">
      <formula>32.99%</formula>
    </cfRule>
    <cfRule type="cellIs" dxfId="293" priority="237" operator="between">
      <formula>33%</formula>
      <formula>74.99%</formula>
    </cfRule>
    <cfRule type="cellIs" dxfId="292" priority="238" operator="between">
      <formula>75%</formula>
      <formula>99.99%</formula>
    </cfRule>
    <cfRule type="cellIs" dxfId="291" priority="239" operator="greaterThanOrEqual">
      <formula>100%</formula>
    </cfRule>
    <cfRule type="cellIs" dxfId="290" priority="240" operator="equal">
      <formula>0%</formula>
    </cfRule>
  </conditionalFormatting>
  <conditionalFormatting sqref="P15:Q24">
    <cfRule type="cellIs" dxfId="289" priority="231" operator="lessThanOrEqual">
      <formula>32.99%</formula>
    </cfRule>
    <cfRule type="cellIs" dxfId="288" priority="232" operator="between">
      <formula>33%</formula>
      <formula>74.99%</formula>
    </cfRule>
    <cfRule type="cellIs" dxfId="287" priority="233" operator="between">
      <formula>75%</formula>
      <formula>99.99%</formula>
    </cfRule>
    <cfRule type="cellIs" dxfId="286" priority="234" operator="greaterThanOrEqual">
      <formula>100%</formula>
    </cfRule>
    <cfRule type="cellIs" dxfId="285" priority="235" operator="equal">
      <formula>0%</formula>
    </cfRule>
  </conditionalFormatting>
  <conditionalFormatting sqref="P29:Q37">
    <cfRule type="cellIs" dxfId="284" priority="226" operator="lessThanOrEqual">
      <formula>32.99%</formula>
    </cfRule>
    <cfRule type="cellIs" dxfId="283" priority="227" operator="between">
      <formula>33%</formula>
      <formula>74.99%</formula>
    </cfRule>
    <cfRule type="cellIs" dxfId="282" priority="228" operator="between">
      <formula>75%</formula>
      <formula>99.99%</formula>
    </cfRule>
    <cfRule type="cellIs" dxfId="281" priority="229" operator="greaterThanOrEqual">
      <formula>100%</formula>
    </cfRule>
    <cfRule type="cellIs" dxfId="280" priority="230" operator="equal">
      <formula>0%</formula>
    </cfRule>
  </conditionalFormatting>
  <conditionalFormatting sqref="P42:Q49">
    <cfRule type="cellIs" dxfId="279" priority="221" operator="lessThanOrEqual">
      <formula>32.99%</formula>
    </cfRule>
    <cfRule type="cellIs" dxfId="278" priority="222" operator="between">
      <formula>33%</formula>
      <formula>74.99%</formula>
    </cfRule>
    <cfRule type="cellIs" dxfId="277" priority="223" operator="between">
      <formula>75%</formula>
      <formula>99.99%</formula>
    </cfRule>
    <cfRule type="cellIs" dxfId="276" priority="224" operator="greaterThanOrEqual">
      <formula>100%</formula>
    </cfRule>
    <cfRule type="cellIs" dxfId="275" priority="225" operator="equal">
      <formula>0%</formula>
    </cfRule>
  </conditionalFormatting>
  <conditionalFormatting sqref="P54:Q61">
    <cfRule type="cellIs" dxfId="274" priority="216" operator="lessThanOrEqual">
      <formula>32.99%</formula>
    </cfRule>
    <cfRule type="cellIs" dxfId="273" priority="217" operator="between">
      <formula>33%</formula>
      <formula>74.99%</formula>
    </cfRule>
    <cfRule type="cellIs" dxfId="272" priority="218" operator="between">
      <formula>75%</formula>
      <formula>99.99%</formula>
    </cfRule>
    <cfRule type="cellIs" dxfId="271" priority="219" operator="greaterThanOrEqual">
      <formula>100%</formula>
    </cfRule>
    <cfRule type="cellIs" dxfId="270" priority="220" operator="equal">
      <formula>0%</formula>
    </cfRule>
  </conditionalFormatting>
  <conditionalFormatting sqref="R61">
    <cfRule type="cellIs" dxfId="269" priority="211" operator="lessThanOrEqual">
      <formula>32.99%</formula>
    </cfRule>
    <cfRule type="cellIs" dxfId="268" priority="212" operator="between">
      <formula>33%</formula>
      <formula>74.99%</formula>
    </cfRule>
    <cfRule type="cellIs" dxfId="267" priority="213" operator="between">
      <formula>75%</formula>
      <formula>99.99%</formula>
    </cfRule>
    <cfRule type="cellIs" dxfId="266" priority="214" operator="greaterThanOrEqual">
      <formula>100%</formula>
    </cfRule>
    <cfRule type="cellIs" dxfId="265" priority="215" operator="equal">
      <formula>0%</formula>
    </cfRule>
  </conditionalFormatting>
  <conditionalFormatting sqref="R49">
    <cfRule type="cellIs" dxfId="264" priority="206" operator="lessThanOrEqual">
      <formula>32.99%</formula>
    </cfRule>
    <cfRule type="cellIs" dxfId="263" priority="207" operator="between">
      <formula>33%</formula>
      <formula>74.99%</formula>
    </cfRule>
    <cfRule type="cellIs" dxfId="262" priority="208" operator="between">
      <formula>75%</formula>
      <formula>99.99%</formula>
    </cfRule>
    <cfRule type="cellIs" dxfId="261" priority="209" operator="greaterThanOrEqual">
      <formula>100%</formula>
    </cfRule>
    <cfRule type="cellIs" dxfId="260" priority="210" operator="equal">
      <formula>0%</formula>
    </cfRule>
  </conditionalFormatting>
  <conditionalFormatting sqref="R37">
    <cfRule type="cellIs" dxfId="259" priority="201" operator="lessThanOrEqual">
      <formula>32.99%</formula>
    </cfRule>
    <cfRule type="cellIs" dxfId="258" priority="202" operator="between">
      <formula>33%</formula>
      <formula>74.99%</formula>
    </cfRule>
    <cfRule type="cellIs" dxfId="257" priority="203" operator="between">
      <formula>75%</formula>
      <formula>99.99%</formula>
    </cfRule>
    <cfRule type="cellIs" dxfId="256" priority="204" operator="greaterThanOrEqual">
      <formula>100%</formula>
    </cfRule>
    <cfRule type="cellIs" dxfId="255" priority="205" operator="equal">
      <formula>0%</formula>
    </cfRule>
  </conditionalFormatting>
  <conditionalFormatting sqref="R24">
    <cfRule type="cellIs" dxfId="254" priority="196" operator="lessThanOrEqual">
      <formula>32.99%</formula>
    </cfRule>
    <cfRule type="cellIs" dxfId="253" priority="197" operator="between">
      <formula>33%</formula>
      <formula>74.99%</formula>
    </cfRule>
    <cfRule type="cellIs" dxfId="252" priority="198" operator="between">
      <formula>75%</formula>
      <formula>99.99%</formula>
    </cfRule>
    <cfRule type="cellIs" dxfId="251" priority="199" operator="greaterThanOrEqual">
      <formula>100%</formula>
    </cfRule>
    <cfRule type="cellIs" dxfId="250" priority="200" operator="equal">
      <formula>0%</formula>
    </cfRule>
  </conditionalFormatting>
  <conditionalFormatting sqref="R10">
    <cfRule type="cellIs" dxfId="249" priority="191" operator="lessThanOrEqual">
      <formula>32.99%</formula>
    </cfRule>
    <cfRule type="cellIs" dxfId="248" priority="192" operator="between">
      <formula>33%</formula>
      <formula>74.99%</formula>
    </cfRule>
    <cfRule type="cellIs" dxfId="247" priority="193" operator="between">
      <formula>75%</formula>
      <formula>99.99%</formula>
    </cfRule>
    <cfRule type="cellIs" dxfId="246" priority="194" operator="greaterThanOrEqual">
      <formula>100%</formula>
    </cfRule>
    <cfRule type="cellIs" dxfId="245" priority="195" operator="equal">
      <formula>0%</formula>
    </cfRule>
  </conditionalFormatting>
  <conditionalFormatting sqref="S3:S10">
    <cfRule type="cellIs" dxfId="244" priority="186" operator="lessThanOrEqual">
      <formula>32.99%</formula>
    </cfRule>
    <cfRule type="cellIs" dxfId="243" priority="187" operator="between">
      <formula>33%</formula>
      <formula>74.99%</formula>
    </cfRule>
    <cfRule type="cellIs" dxfId="242" priority="188" operator="between">
      <formula>75%</formula>
      <formula>99.99%</formula>
    </cfRule>
    <cfRule type="cellIs" dxfId="241" priority="189" operator="greaterThanOrEqual">
      <formula>100%</formula>
    </cfRule>
    <cfRule type="cellIs" dxfId="240" priority="190" operator="equal">
      <formula>0%</formula>
    </cfRule>
  </conditionalFormatting>
  <conditionalFormatting sqref="S15:S24">
    <cfRule type="cellIs" dxfId="239" priority="181" operator="lessThanOrEqual">
      <formula>32.99%</formula>
    </cfRule>
    <cfRule type="cellIs" dxfId="238" priority="182" operator="between">
      <formula>33%</formula>
      <formula>74.99%</formula>
    </cfRule>
    <cfRule type="cellIs" dxfId="237" priority="183" operator="between">
      <formula>75%</formula>
      <formula>99.99%</formula>
    </cfRule>
    <cfRule type="cellIs" dxfId="236" priority="184" operator="greaterThanOrEqual">
      <formula>100%</formula>
    </cfRule>
    <cfRule type="cellIs" dxfId="235" priority="185" operator="equal">
      <formula>0%</formula>
    </cfRule>
  </conditionalFormatting>
  <conditionalFormatting sqref="S29:S37">
    <cfRule type="cellIs" dxfId="234" priority="176" operator="lessThanOrEqual">
      <formula>32.99%</formula>
    </cfRule>
    <cfRule type="cellIs" dxfId="233" priority="177" operator="between">
      <formula>33%</formula>
      <formula>74.99%</formula>
    </cfRule>
    <cfRule type="cellIs" dxfId="232" priority="178" operator="between">
      <formula>75%</formula>
      <formula>99.99%</formula>
    </cfRule>
    <cfRule type="cellIs" dxfId="231" priority="179" operator="greaterThanOrEqual">
      <formula>100%</formula>
    </cfRule>
    <cfRule type="cellIs" dxfId="230" priority="180" operator="equal">
      <formula>0%</formula>
    </cfRule>
  </conditionalFormatting>
  <conditionalFormatting sqref="S42:S49">
    <cfRule type="cellIs" dxfId="229" priority="171" operator="lessThanOrEqual">
      <formula>32.99%</formula>
    </cfRule>
    <cfRule type="cellIs" dxfId="228" priority="172" operator="between">
      <formula>33%</formula>
      <formula>74.99%</formula>
    </cfRule>
    <cfRule type="cellIs" dxfId="227" priority="173" operator="between">
      <formula>75%</formula>
      <formula>99.99%</formula>
    </cfRule>
    <cfRule type="cellIs" dxfId="226" priority="174" operator="greaterThanOrEqual">
      <formula>100%</formula>
    </cfRule>
    <cfRule type="cellIs" dxfId="225" priority="175" operator="equal">
      <formula>0%</formula>
    </cfRule>
  </conditionalFormatting>
  <conditionalFormatting sqref="S54:S61">
    <cfRule type="cellIs" dxfId="224" priority="166" operator="lessThanOrEqual">
      <formula>32.99%</formula>
    </cfRule>
    <cfRule type="cellIs" dxfId="223" priority="167" operator="between">
      <formula>33%</formula>
      <formula>74.99%</formula>
    </cfRule>
    <cfRule type="cellIs" dxfId="222" priority="168" operator="between">
      <formula>75%</formula>
      <formula>99.99%</formula>
    </cfRule>
    <cfRule type="cellIs" dxfId="221" priority="169" operator="greaterThanOrEqual">
      <formula>100%</formula>
    </cfRule>
    <cfRule type="cellIs" dxfId="220" priority="170" operator="equal">
      <formula>0%</formula>
    </cfRule>
  </conditionalFormatting>
  <conditionalFormatting sqref="I54:I61">
    <cfRule type="cellIs" dxfId="219" priority="161" operator="lessThanOrEqual">
      <formula>32.99%</formula>
    </cfRule>
    <cfRule type="cellIs" dxfId="218" priority="162" operator="between">
      <formula>33%</formula>
      <formula>74.99%</formula>
    </cfRule>
    <cfRule type="cellIs" dxfId="217" priority="163" operator="between">
      <formula>75%</formula>
      <formula>99.99%</formula>
    </cfRule>
    <cfRule type="cellIs" dxfId="216" priority="164" operator="greaterThanOrEqual">
      <formula>100%</formula>
    </cfRule>
    <cfRule type="cellIs" dxfId="215" priority="165" operator="equal">
      <formula>0%</formula>
    </cfRule>
  </conditionalFormatting>
  <conditionalFormatting sqref="F54:G61">
    <cfRule type="cellIs" dxfId="214" priority="156" operator="lessThanOrEqual">
      <formula>32.99%</formula>
    </cfRule>
    <cfRule type="cellIs" dxfId="213" priority="157" operator="between">
      <formula>33%</formula>
      <formula>74.99%</formula>
    </cfRule>
    <cfRule type="cellIs" dxfId="212" priority="158" operator="between">
      <formula>75%</formula>
      <formula>99.99%</formula>
    </cfRule>
    <cfRule type="cellIs" dxfId="211" priority="159" operator="greaterThanOrEqual">
      <formula>100%</formula>
    </cfRule>
    <cfRule type="cellIs" dxfId="210" priority="160" operator="equal">
      <formula>0%</formula>
    </cfRule>
  </conditionalFormatting>
  <conditionalFormatting sqref="H61">
    <cfRule type="cellIs" dxfId="209" priority="151" operator="lessThanOrEqual">
      <formula>32.99%</formula>
    </cfRule>
    <cfRule type="cellIs" dxfId="208" priority="152" operator="between">
      <formula>33%</formula>
      <formula>74.99%</formula>
    </cfRule>
    <cfRule type="cellIs" dxfId="207" priority="153" operator="between">
      <formula>75%</formula>
      <formula>99.99%</formula>
    </cfRule>
    <cfRule type="cellIs" dxfId="206" priority="154" operator="greaterThanOrEqual">
      <formula>100%</formula>
    </cfRule>
    <cfRule type="cellIs" dxfId="205" priority="155" operator="equal">
      <formula>0%</formula>
    </cfRule>
  </conditionalFormatting>
  <conditionalFormatting sqref="F42:G49">
    <cfRule type="cellIs" dxfId="204" priority="146" operator="lessThanOrEqual">
      <formula>32.99%</formula>
    </cfRule>
    <cfRule type="cellIs" dxfId="203" priority="147" operator="between">
      <formula>33%</formula>
      <formula>74.99%</formula>
    </cfRule>
    <cfRule type="cellIs" dxfId="202" priority="148" operator="between">
      <formula>75%</formula>
      <formula>99.99%</formula>
    </cfRule>
    <cfRule type="cellIs" dxfId="201" priority="149" operator="greaterThanOrEqual">
      <formula>100%</formula>
    </cfRule>
    <cfRule type="cellIs" dxfId="200" priority="150" operator="equal">
      <formula>0%</formula>
    </cfRule>
  </conditionalFormatting>
  <conditionalFormatting sqref="F29:G37">
    <cfRule type="cellIs" dxfId="199" priority="141" operator="lessThanOrEqual">
      <formula>32.99%</formula>
    </cfRule>
    <cfRule type="cellIs" dxfId="198" priority="142" operator="between">
      <formula>33%</formula>
      <formula>74.99%</formula>
    </cfRule>
    <cfRule type="cellIs" dxfId="197" priority="143" operator="between">
      <formula>75%</formula>
      <formula>99.99%</formula>
    </cfRule>
    <cfRule type="cellIs" dxfId="196" priority="144" operator="greaterThanOrEqual">
      <formula>100%</formula>
    </cfRule>
    <cfRule type="cellIs" dxfId="195" priority="145" operator="equal">
      <formula>0%</formula>
    </cfRule>
  </conditionalFormatting>
  <conditionalFormatting sqref="F15:G24">
    <cfRule type="cellIs" dxfId="194" priority="136" operator="lessThanOrEqual">
      <formula>32.99%</formula>
    </cfRule>
    <cfRule type="cellIs" dxfId="193" priority="137" operator="between">
      <formula>33%</formula>
      <formula>74.99%</formula>
    </cfRule>
    <cfRule type="cellIs" dxfId="192" priority="138" operator="between">
      <formula>75%</formula>
      <formula>99.99%</formula>
    </cfRule>
    <cfRule type="cellIs" dxfId="191" priority="139" operator="greaterThanOrEqual">
      <formula>100%</formula>
    </cfRule>
    <cfRule type="cellIs" dxfId="190" priority="140" operator="equal">
      <formula>0%</formula>
    </cfRule>
  </conditionalFormatting>
  <conditionalFormatting sqref="F3:G10">
    <cfRule type="cellIs" dxfId="189" priority="131" operator="lessThanOrEqual">
      <formula>32.99%</formula>
    </cfRule>
    <cfRule type="cellIs" dxfId="188" priority="132" operator="between">
      <formula>33%</formula>
      <formula>74.99%</formula>
    </cfRule>
    <cfRule type="cellIs" dxfId="187" priority="133" operator="between">
      <formula>75%</formula>
      <formula>99.99%</formula>
    </cfRule>
    <cfRule type="cellIs" dxfId="186" priority="134" operator="greaterThanOrEqual">
      <formula>100%</formula>
    </cfRule>
    <cfRule type="cellIs" dxfId="185" priority="135" operator="equal">
      <formula>0%</formula>
    </cfRule>
  </conditionalFormatting>
  <conditionalFormatting sqref="I3:I10">
    <cfRule type="cellIs" dxfId="184" priority="126" operator="lessThanOrEqual">
      <formula>32.99%</formula>
    </cfRule>
    <cfRule type="cellIs" dxfId="183" priority="127" operator="between">
      <formula>33%</formula>
      <formula>74.99%</formula>
    </cfRule>
    <cfRule type="cellIs" dxfId="182" priority="128" operator="between">
      <formula>75%</formula>
      <formula>99.99%</formula>
    </cfRule>
    <cfRule type="cellIs" dxfId="181" priority="129" operator="greaterThanOrEqual">
      <formula>100%</formula>
    </cfRule>
    <cfRule type="cellIs" dxfId="180" priority="130" operator="equal">
      <formula>0%</formula>
    </cfRule>
  </conditionalFormatting>
  <conditionalFormatting sqref="H10">
    <cfRule type="cellIs" dxfId="179" priority="121" operator="lessThanOrEqual">
      <formula>32.99%</formula>
    </cfRule>
    <cfRule type="cellIs" dxfId="178" priority="122" operator="between">
      <formula>33%</formula>
      <formula>74.99%</formula>
    </cfRule>
    <cfRule type="cellIs" dxfId="177" priority="123" operator="between">
      <formula>75%</formula>
      <formula>99.99%</formula>
    </cfRule>
    <cfRule type="cellIs" dxfId="176" priority="124" operator="greaterThanOrEqual">
      <formula>100%</formula>
    </cfRule>
    <cfRule type="cellIs" dxfId="175" priority="125" operator="equal">
      <formula>0%</formula>
    </cfRule>
  </conditionalFormatting>
  <conditionalFormatting sqref="I15:I24">
    <cfRule type="cellIs" dxfId="174" priority="116" operator="lessThanOrEqual">
      <formula>32.99%</formula>
    </cfRule>
    <cfRule type="cellIs" dxfId="173" priority="117" operator="between">
      <formula>33%</formula>
      <formula>74.99%</formula>
    </cfRule>
    <cfRule type="cellIs" dxfId="172" priority="118" operator="between">
      <formula>75%</formula>
      <formula>99.99%</formula>
    </cfRule>
    <cfRule type="cellIs" dxfId="171" priority="119" operator="greaterThanOrEqual">
      <formula>100%</formula>
    </cfRule>
    <cfRule type="cellIs" dxfId="170" priority="120" operator="equal">
      <formula>0%</formula>
    </cfRule>
  </conditionalFormatting>
  <conditionalFormatting sqref="H24">
    <cfRule type="cellIs" dxfId="169" priority="111" operator="lessThanOrEqual">
      <formula>32.99%</formula>
    </cfRule>
    <cfRule type="cellIs" dxfId="168" priority="112" operator="between">
      <formula>33%</formula>
      <formula>74.99%</formula>
    </cfRule>
    <cfRule type="cellIs" dxfId="167" priority="113" operator="between">
      <formula>75%</formula>
      <formula>99.99%</formula>
    </cfRule>
    <cfRule type="cellIs" dxfId="166" priority="114" operator="greaterThanOrEqual">
      <formula>100%</formula>
    </cfRule>
    <cfRule type="cellIs" dxfId="165" priority="115" operator="equal">
      <formula>0%</formula>
    </cfRule>
  </conditionalFormatting>
  <conditionalFormatting sqref="I29:I37">
    <cfRule type="cellIs" dxfId="164" priority="106" operator="lessThanOrEqual">
      <formula>32.99%</formula>
    </cfRule>
    <cfRule type="cellIs" dxfId="163" priority="107" operator="between">
      <formula>33%</formula>
      <formula>74.99%</formula>
    </cfRule>
    <cfRule type="cellIs" dxfId="162" priority="108" operator="between">
      <formula>75%</formula>
      <formula>99.99%</formula>
    </cfRule>
    <cfRule type="cellIs" dxfId="161" priority="109" operator="greaterThanOrEqual">
      <formula>100%</formula>
    </cfRule>
    <cfRule type="cellIs" dxfId="160" priority="110" operator="equal">
      <formula>0%</formula>
    </cfRule>
  </conditionalFormatting>
  <conditionalFormatting sqref="I42:I49">
    <cfRule type="cellIs" dxfId="159" priority="101" operator="lessThanOrEqual">
      <formula>32.99%</formula>
    </cfRule>
    <cfRule type="cellIs" dxfId="158" priority="102" operator="between">
      <formula>33%</formula>
      <formula>74.99%</formula>
    </cfRule>
    <cfRule type="cellIs" dxfId="157" priority="103" operator="between">
      <formula>75%</formula>
      <formula>99.99%</formula>
    </cfRule>
    <cfRule type="cellIs" dxfId="156" priority="104" operator="greaterThanOrEqual">
      <formula>100%</formula>
    </cfRule>
    <cfRule type="cellIs" dxfId="155" priority="105" operator="equal">
      <formula>0%</formula>
    </cfRule>
  </conditionalFormatting>
  <conditionalFormatting sqref="H49">
    <cfRule type="cellIs" dxfId="154" priority="96" operator="lessThanOrEqual">
      <formula>32.99%</formula>
    </cfRule>
    <cfRule type="cellIs" dxfId="153" priority="97" operator="between">
      <formula>33%</formula>
      <formula>74.99%</formula>
    </cfRule>
    <cfRule type="cellIs" dxfId="152" priority="98" operator="between">
      <formula>75%</formula>
      <formula>99.99%</formula>
    </cfRule>
    <cfRule type="cellIs" dxfId="151" priority="99" operator="greaterThanOrEqual">
      <formula>100%</formula>
    </cfRule>
    <cfRule type="cellIs" dxfId="150" priority="100" operator="equal">
      <formula>0%</formula>
    </cfRule>
  </conditionalFormatting>
  <conditionalFormatting sqref="H37">
    <cfRule type="cellIs" dxfId="149" priority="91" operator="lessThanOrEqual">
      <formula>32.99%</formula>
    </cfRule>
    <cfRule type="cellIs" dxfId="148" priority="92" operator="between">
      <formula>33%</formula>
      <formula>74.99%</formula>
    </cfRule>
    <cfRule type="cellIs" dxfId="147" priority="93" operator="between">
      <formula>75%</formula>
      <formula>99.99%</formula>
    </cfRule>
    <cfRule type="cellIs" dxfId="146" priority="94" operator="greaterThanOrEqual">
      <formula>100%</formula>
    </cfRule>
    <cfRule type="cellIs" dxfId="145" priority="95" operator="equal">
      <formula>0%</formula>
    </cfRule>
  </conditionalFormatting>
  <conditionalFormatting sqref="C68:C72">
    <cfRule type="cellIs" dxfId="144" priority="86" operator="lessThanOrEqual">
      <formula>32.99%</formula>
    </cfRule>
    <cfRule type="cellIs" dxfId="143" priority="87" operator="between">
      <formula>33%</formula>
      <formula>74.99%</formula>
    </cfRule>
    <cfRule type="cellIs" dxfId="142" priority="88" operator="between">
      <formula>75%</formula>
      <formula>99.99%</formula>
    </cfRule>
    <cfRule type="cellIs" dxfId="141" priority="89" operator="greaterThanOrEqual">
      <formula>100%</formula>
    </cfRule>
    <cfRule type="cellIs" dxfId="140" priority="90" operator="equal">
      <formula>0%</formula>
    </cfRule>
  </conditionalFormatting>
  <conditionalFormatting sqref="E68:E72">
    <cfRule type="cellIs" dxfId="139" priority="81" operator="lessThanOrEqual">
      <formula>32.99%</formula>
    </cfRule>
    <cfRule type="cellIs" dxfId="138" priority="82" operator="between">
      <formula>33%</formula>
      <formula>74.99%</formula>
    </cfRule>
    <cfRule type="cellIs" dxfId="137" priority="83" operator="between">
      <formula>75%</formula>
      <formula>99.99%</formula>
    </cfRule>
    <cfRule type="cellIs" dxfId="136" priority="84" operator="greaterThanOrEqual">
      <formula>100%</formula>
    </cfRule>
    <cfRule type="cellIs" dxfId="135" priority="85" operator="equal">
      <formula>0%</formula>
    </cfRule>
  </conditionalFormatting>
  <conditionalFormatting sqref="G68:G72">
    <cfRule type="cellIs" dxfId="134" priority="76" operator="lessThanOrEqual">
      <formula>32.99%</formula>
    </cfRule>
    <cfRule type="cellIs" dxfId="133" priority="77" operator="between">
      <formula>33%</formula>
      <formula>74.99%</formula>
    </cfRule>
    <cfRule type="cellIs" dxfId="132" priority="78" operator="between">
      <formula>75%</formula>
      <formula>99.99%</formula>
    </cfRule>
    <cfRule type="cellIs" dxfId="131" priority="79" operator="greaterThanOrEqual">
      <formula>100%</formula>
    </cfRule>
    <cfRule type="cellIs" dxfId="130" priority="80" operator="equal">
      <formula>0%</formula>
    </cfRule>
  </conditionalFormatting>
  <conditionalFormatting sqref="C77:C81">
    <cfRule type="cellIs" dxfId="129" priority="71" operator="lessThanOrEqual">
      <formula>32.99%</formula>
    </cfRule>
    <cfRule type="cellIs" dxfId="128" priority="72" operator="between">
      <formula>33%</formula>
      <formula>74.99%</formula>
    </cfRule>
    <cfRule type="cellIs" dxfId="127" priority="73" operator="between">
      <formula>75%</formula>
      <formula>99.99%</formula>
    </cfRule>
    <cfRule type="cellIs" dxfId="126" priority="74" operator="greaterThanOrEqual">
      <formula>100%</formula>
    </cfRule>
    <cfRule type="cellIs" dxfId="125" priority="75" operator="equal">
      <formula>0%</formula>
    </cfRule>
  </conditionalFormatting>
  <conditionalFormatting sqref="E77:E81">
    <cfRule type="cellIs" dxfId="124" priority="66" operator="lessThanOrEqual">
      <formula>32.99%</formula>
    </cfRule>
    <cfRule type="cellIs" dxfId="123" priority="67" operator="between">
      <formula>33%</formula>
      <formula>74.99%</formula>
    </cfRule>
    <cfRule type="cellIs" dxfId="122" priority="68" operator="between">
      <formula>75%</formula>
      <formula>99.99%</formula>
    </cfRule>
    <cfRule type="cellIs" dxfId="121" priority="69" operator="greaterThanOrEqual">
      <formula>100%</formula>
    </cfRule>
    <cfRule type="cellIs" dxfId="120" priority="70" operator="equal">
      <formula>0%</formula>
    </cfRule>
  </conditionalFormatting>
  <conditionalFormatting sqref="G77:G81">
    <cfRule type="cellIs" dxfId="119" priority="61" operator="lessThanOrEqual">
      <formula>32.99%</formula>
    </cfRule>
    <cfRule type="cellIs" dxfId="118" priority="62" operator="between">
      <formula>33%</formula>
      <formula>74.99%</formula>
    </cfRule>
    <cfRule type="cellIs" dxfId="117" priority="63" operator="between">
      <formula>75%</formula>
      <formula>99.99%</formula>
    </cfRule>
    <cfRule type="cellIs" dxfId="116" priority="64" operator="greaterThanOrEqual">
      <formula>100%</formula>
    </cfRule>
    <cfRule type="cellIs" dxfId="115" priority="65" operator="equal">
      <formula>0%</formula>
    </cfRule>
  </conditionalFormatting>
  <conditionalFormatting sqref="D73">
    <cfRule type="cellIs" dxfId="114" priority="56" operator="lessThanOrEqual">
      <formula>32.99%</formula>
    </cfRule>
    <cfRule type="cellIs" dxfId="113" priority="57" operator="between">
      <formula>33%</formula>
      <formula>74.99%</formula>
    </cfRule>
    <cfRule type="cellIs" dxfId="112" priority="58" operator="between">
      <formula>75%</formula>
      <formula>99.99%</formula>
    </cfRule>
    <cfRule type="cellIs" dxfId="111" priority="59" operator="greaterThanOrEqual">
      <formula>100%</formula>
    </cfRule>
    <cfRule type="cellIs" dxfId="110" priority="60" operator="equal">
      <formula>0%</formula>
    </cfRule>
  </conditionalFormatting>
  <conditionalFormatting sqref="F73">
    <cfRule type="cellIs" dxfId="109" priority="51" operator="lessThanOrEqual">
      <formula>32.99%</formula>
    </cfRule>
    <cfRule type="cellIs" dxfId="108" priority="52" operator="between">
      <formula>33%</formula>
      <formula>74.99%</formula>
    </cfRule>
    <cfRule type="cellIs" dxfId="107" priority="53" operator="between">
      <formula>75%</formula>
      <formula>99.99%</formula>
    </cfRule>
    <cfRule type="cellIs" dxfId="106" priority="54" operator="greaterThanOrEqual">
      <formula>100%</formula>
    </cfRule>
    <cfRule type="cellIs" dxfId="105" priority="55" operator="equal">
      <formula>0%</formula>
    </cfRule>
  </conditionalFormatting>
  <conditionalFormatting sqref="H73">
    <cfRule type="cellIs" dxfId="104" priority="46" operator="lessThanOrEqual">
      <formula>32.99%</formula>
    </cfRule>
    <cfRule type="cellIs" dxfId="103" priority="47" operator="between">
      <formula>33%</formula>
      <formula>74.99%</formula>
    </cfRule>
    <cfRule type="cellIs" dxfId="102" priority="48" operator="between">
      <formula>75%</formula>
      <formula>99.99%</formula>
    </cfRule>
    <cfRule type="cellIs" dxfId="101" priority="49" operator="greaterThanOrEqual">
      <formula>100%</formula>
    </cfRule>
    <cfRule type="cellIs" dxfId="100" priority="50" operator="equal">
      <formula>0%</formula>
    </cfRule>
  </conditionalFormatting>
  <conditionalFormatting sqref="D82">
    <cfRule type="cellIs" dxfId="99" priority="41" operator="lessThanOrEqual">
      <formula>32.99%</formula>
    </cfRule>
    <cfRule type="cellIs" dxfId="98" priority="42" operator="between">
      <formula>33%</formula>
      <formula>74.99%</formula>
    </cfRule>
    <cfRule type="cellIs" dxfId="97" priority="43" operator="between">
      <formula>75%</formula>
      <formula>99.99%</formula>
    </cfRule>
    <cfRule type="cellIs" dxfId="96" priority="44" operator="greaterThanOrEqual">
      <formula>100%</formula>
    </cfRule>
    <cfRule type="cellIs" dxfId="95" priority="45" operator="equal">
      <formula>0%</formula>
    </cfRule>
  </conditionalFormatting>
  <conditionalFormatting sqref="F82">
    <cfRule type="cellIs" dxfId="94" priority="36" operator="lessThanOrEqual">
      <formula>32.99%</formula>
    </cfRule>
    <cfRule type="cellIs" dxfId="93" priority="37" operator="between">
      <formula>33%</formula>
      <formula>74.99%</formula>
    </cfRule>
    <cfRule type="cellIs" dxfId="92" priority="38" operator="between">
      <formula>75%</formula>
      <formula>99.99%</formula>
    </cfRule>
    <cfRule type="cellIs" dxfId="91" priority="39" operator="greaterThanOrEqual">
      <formula>100%</formula>
    </cfRule>
    <cfRule type="cellIs" dxfId="90" priority="40" operator="equal">
      <formula>0%</formula>
    </cfRule>
  </conditionalFormatting>
  <conditionalFormatting sqref="H82">
    <cfRule type="cellIs" dxfId="89" priority="31" operator="lessThanOrEqual">
      <formula>32.99%</formula>
    </cfRule>
    <cfRule type="cellIs" dxfId="88" priority="32" operator="between">
      <formula>33%</formula>
      <formula>74.99%</formula>
    </cfRule>
    <cfRule type="cellIs" dxfId="87" priority="33" operator="between">
      <formula>75%</formula>
      <formula>99.99%</formula>
    </cfRule>
    <cfRule type="cellIs" dxfId="86" priority="34" operator="greaterThanOrEqual">
      <formula>100%</formula>
    </cfRule>
    <cfRule type="cellIs" dxfId="85" priority="35" operator="equal">
      <formula>0%</formula>
    </cfRule>
  </conditionalFormatting>
  <conditionalFormatting sqref="C86:C90">
    <cfRule type="cellIs" dxfId="84" priority="26" operator="lessThanOrEqual">
      <formula>32.99%</formula>
    </cfRule>
    <cfRule type="cellIs" dxfId="83" priority="27" operator="between">
      <formula>33%</formula>
      <formula>74.99%</formula>
    </cfRule>
    <cfRule type="cellIs" dxfId="82" priority="28" operator="between">
      <formula>75%</formula>
      <formula>99.99%</formula>
    </cfRule>
    <cfRule type="cellIs" dxfId="81" priority="29" operator="greaterThanOrEqual">
      <formula>100%</formula>
    </cfRule>
    <cfRule type="cellIs" dxfId="80" priority="30" operator="equal">
      <formula>0%</formula>
    </cfRule>
  </conditionalFormatting>
  <conditionalFormatting sqref="E86:E90">
    <cfRule type="cellIs" dxfId="79" priority="21" operator="lessThanOrEqual">
      <formula>32.99%</formula>
    </cfRule>
    <cfRule type="cellIs" dxfId="78" priority="22" operator="between">
      <formula>33%</formula>
      <formula>74.99%</formula>
    </cfRule>
    <cfRule type="cellIs" dxfId="77" priority="23" operator="between">
      <formula>75%</formula>
      <formula>99.99%</formula>
    </cfRule>
    <cfRule type="cellIs" dxfId="76" priority="24" operator="greaterThanOrEqual">
      <formula>100%</formula>
    </cfRule>
    <cfRule type="cellIs" dxfId="75" priority="25" operator="equal">
      <formula>0%</formula>
    </cfRule>
  </conditionalFormatting>
  <conditionalFormatting sqref="G86:G90">
    <cfRule type="cellIs" dxfId="74" priority="16" operator="lessThanOrEqual">
      <formula>32.99%</formula>
    </cfRule>
    <cfRule type="cellIs" dxfId="73" priority="17" operator="between">
      <formula>33%</formula>
      <formula>74.99%</formula>
    </cfRule>
    <cfRule type="cellIs" dxfId="72" priority="18" operator="between">
      <formula>75%</formula>
      <formula>99.99%</formula>
    </cfRule>
    <cfRule type="cellIs" dxfId="71" priority="19" operator="greaterThanOrEqual">
      <formula>100%</formula>
    </cfRule>
    <cfRule type="cellIs" dxfId="70" priority="20" operator="equal">
      <formula>0%</formula>
    </cfRule>
  </conditionalFormatting>
  <conditionalFormatting sqref="D91">
    <cfRule type="cellIs" dxfId="69" priority="11" operator="lessThanOrEqual">
      <formula>32.99%</formula>
    </cfRule>
    <cfRule type="cellIs" dxfId="68" priority="12" operator="between">
      <formula>33%</formula>
      <formula>74.99%</formula>
    </cfRule>
    <cfRule type="cellIs" dxfId="67" priority="13" operator="between">
      <formula>75%</formula>
      <formula>99.99%</formula>
    </cfRule>
    <cfRule type="cellIs" dxfId="66" priority="14" operator="greaterThanOrEqual">
      <formula>100%</formula>
    </cfRule>
    <cfRule type="cellIs" dxfId="65" priority="15" operator="equal">
      <formula>0%</formula>
    </cfRule>
  </conditionalFormatting>
  <conditionalFormatting sqref="F91">
    <cfRule type="cellIs" dxfId="64" priority="6" operator="lessThanOrEqual">
      <formula>32.99%</formula>
    </cfRule>
    <cfRule type="cellIs" dxfId="63" priority="7" operator="between">
      <formula>33%</formula>
      <formula>74.99%</formula>
    </cfRule>
    <cfRule type="cellIs" dxfId="62" priority="8" operator="between">
      <formula>75%</formula>
      <formula>99.99%</formula>
    </cfRule>
    <cfRule type="cellIs" dxfId="61" priority="9" operator="greaterThanOrEqual">
      <formula>100%</formula>
    </cfRule>
    <cfRule type="cellIs" dxfId="60" priority="10" operator="equal">
      <formula>0%</formula>
    </cfRule>
  </conditionalFormatting>
  <conditionalFormatting sqref="H91">
    <cfRule type="cellIs" dxfId="59" priority="1" operator="lessThanOrEqual">
      <formula>32.99%</formula>
    </cfRule>
    <cfRule type="cellIs" dxfId="58" priority="2" operator="between">
      <formula>33%</formula>
      <formula>74.99%</formula>
    </cfRule>
    <cfRule type="cellIs" dxfId="57" priority="3" operator="between">
      <formula>75%</formula>
      <formula>99.99%</formula>
    </cfRule>
    <cfRule type="cellIs" dxfId="56" priority="4" operator="greaterThanOrEqual">
      <formula>100%</formula>
    </cfRule>
    <cfRule type="cellIs" dxfId="55" priority="5" operator="equal">
      <formula>0%</formula>
    </cfRule>
  </conditionalFormatting>
  <pageMargins left="0.7" right="0.7" top="0.75" bottom="0.75" header="0.3" footer="0.3"/>
  <pageSetup paperSize="9" orientation="portrait"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
  <sheetViews>
    <sheetView zoomScaleNormal="100" workbookViewId="0">
      <selection activeCell="G8" sqref="G8"/>
    </sheetView>
  </sheetViews>
  <sheetFormatPr baseColWidth="10" defaultRowHeight="15" x14ac:dyDescent="0.25"/>
  <cols>
    <col min="1" max="1" width="30" customWidth="1"/>
    <col min="2" max="2" width="18.140625" customWidth="1"/>
    <col min="3" max="3" width="16.5703125" customWidth="1"/>
    <col min="4" max="4" width="17.7109375" customWidth="1"/>
    <col min="5" max="5" width="11.42578125" customWidth="1"/>
    <col min="6" max="6" width="11" customWidth="1"/>
    <col min="7" max="7" width="13" customWidth="1"/>
    <col min="10" max="10" width="20.7109375" customWidth="1"/>
  </cols>
  <sheetData>
    <row r="1" spans="1:7" x14ac:dyDescent="0.25">
      <c r="A1" s="313" t="s">
        <v>191</v>
      </c>
      <c r="B1" s="313"/>
      <c r="C1" s="313"/>
      <c r="D1" s="313"/>
      <c r="E1" s="313"/>
      <c r="F1" s="313"/>
      <c r="G1" s="313"/>
    </row>
    <row r="2" spans="1:7" x14ac:dyDescent="0.25">
      <c r="A2" s="87" t="s">
        <v>552</v>
      </c>
      <c r="B2" s="87" t="s">
        <v>262</v>
      </c>
      <c r="C2" s="87" t="s">
        <v>263</v>
      </c>
      <c r="D2" s="87" t="s">
        <v>551</v>
      </c>
      <c r="E2" s="87" t="s">
        <v>274</v>
      </c>
      <c r="F2" s="87" t="s">
        <v>288</v>
      </c>
      <c r="G2" s="87" t="s">
        <v>289</v>
      </c>
    </row>
    <row r="3" spans="1:7" x14ac:dyDescent="0.25">
      <c r="A3" s="88" t="s">
        <v>14</v>
      </c>
      <c r="B3" s="89">
        <f>Ejecucion!C10</f>
        <v>588822436.5</v>
      </c>
      <c r="C3" s="89">
        <f>Ejecucion!D10</f>
        <v>488077870.09999996</v>
      </c>
      <c r="D3" s="89">
        <f>Ejecucion!E10</f>
        <v>100744566.40000004</v>
      </c>
      <c r="E3" s="68">
        <f>+Ejecucion!C77</f>
        <v>0.8289050142198513</v>
      </c>
      <c r="F3" s="59">
        <f>+Ejecucion!C68</f>
        <v>1</v>
      </c>
      <c r="G3" s="59">
        <f>+Ejecucion!C86</f>
        <v>0.91445250710992565</v>
      </c>
    </row>
    <row r="4" spans="1:7" x14ac:dyDescent="0.25">
      <c r="A4" s="88" t="s">
        <v>34</v>
      </c>
      <c r="B4" s="89">
        <f>Ejecucion!C24</f>
        <v>2206371588.25</v>
      </c>
      <c r="C4" s="89">
        <f>Ejecucion!D24</f>
        <v>1380929493.1000001</v>
      </c>
      <c r="D4" s="89">
        <f>Ejecucion!E24</f>
        <v>825442095.14999998</v>
      </c>
      <c r="E4" s="68">
        <f>+Ejecucion!C78</f>
        <v>0.62588255779494273</v>
      </c>
      <c r="F4" s="59">
        <f>+Ejecucion!C69</f>
        <v>0.63747238156801178</v>
      </c>
      <c r="G4" s="59">
        <f>+Ejecucion!C87</f>
        <v>0.63167746968147731</v>
      </c>
    </row>
    <row r="5" spans="1:7" ht="15.75" customHeight="1" x14ac:dyDescent="0.25">
      <c r="A5" s="88" t="s">
        <v>835</v>
      </c>
      <c r="B5" s="89">
        <f>Ejecucion!C37</f>
        <v>2038118718</v>
      </c>
      <c r="C5" s="89">
        <f>Ejecucion!D37</f>
        <v>1950177096.4999995</v>
      </c>
      <c r="D5" s="89">
        <f>Ejecucion!E37</f>
        <v>87941621.500000119</v>
      </c>
      <c r="E5" s="68">
        <f>+Ejecucion!C79</f>
        <v>0.95685157065516901</v>
      </c>
      <c r="F5" s="59">
        <f>+Ejecucion!C70</f>
        <v>0.93552398809523807</v>
      </c>
      <c r="G5" s="59">
        <f>+Ejecucion!C88</f>
        <v>0.9461877793752036</v>
      </c>
    </row>
    <row r="6" spans="1:7" x14ac:dyDescent="0.25">
      <c r="A6" s="88" t="s">
        <v>836</v>
      </c>
      <c r="B6" s="89">
        <f>Ejecucion!C49</f>
        <v>2153437694.25</v>
      </c>
      <c r="C6" s="89">
        <f>Ejecucion!D49</f>
        <v>2129194919.3</v>
      </c>
      <c r="D6" s="89">
        <f>Ejecucion!E49</f>
        <v>24242774.950000003</v>
      </c>
      <c r="E6" s="68">
        <f>+Ejecucion!C80</f>
        <v>0.98874229098212041</v>
      </c>
      <c r="F6" s="59">
        <f>+Ejecucion!C71</f>
        <v>0.66837687748614105</v>
      </c>
      <c r="G6" s="59">
        <f>+Ejecucion!C89</f>
        <v>0.82855958423413067</v>
      </c>
    </row>
    <row r="7" spans="1:7" x14ac:dyDescent="0.25">
      <c r="A7" s="88" t="s">
        <v>130</v>
      </c>
      <c r="B7" s="89">
        <f>Ejecucion!C61</f>
        <v>4425761392</v>
      </c>
      <c r="C7" s="89">
        <f>Ejecucion!D61</f>
        <v>1359633084.1999998</v>
      </c>
      <c r="D7" s="89">
        <f>Ejecucion!E61</f>
        <v>3066128307.8000002</v>
      </c>
      <c r="E7" s="68">
        <f>+Ejecucion!C81</f>
        <v>0.307208853748345</v>
      </c>
      <c r="F7" s="59">
        <f>+Ejecucion!C72</f>
        <v>0.83478715939201897</v>
      </c>
      <c r="G7" s="59">
        <f>+Ejecucion!C90</f>
        <v>0.57099800657018196</v>
      </c>
    </row>
    <row r="8" spans="1:7" ht="16.5" customHeight="1" x14ac:dyDescent="0.25">
      <c r="A8" s="150" t="s">
        <v>553</v>
      </c>
      <c r="B8" s="151">
        <f>SUM(B3:B7)</f>
        <v>11412511829</v>
      </c>
      <c r="C8" s="151">
        <f t="shared" ref="C8:D8" si="0">SUM(C3:C7)</f>
        <v>7308012463.1999998</v>
      </c>
      <c r="D8" s="151">
        <f t="shared" si="0"/>
        <v>4104499365.8000002</v>
      </c>
      <c r="E8" s="152">
        <f>+Ejecucion!D82</f>
        <v>0.78194201468964331</v>
      </c>
      <c r="F8" s="152">
        <f>+Ejecucion!D73</f>
        <v>0.82698433997793541</v>
      </c>
      <c r="G8" s="152">
        <f>+Ejecucion!D91</f>
        <v>0.80446317733378936</v>
      </c>
    </row>
    <row r="11" spans="1:7" ht="15.75" customHeight="1" x14ac:dyDescent="0.25"/>
    <row r="14" spans="1:7" ht="15.75" customHeight="1" x14ac:dyDescent="0.25"/>
  </sheetData>
  <customSheetViews>
    <customSheetView guid="{FC774746-3857-4381-B35D-AC071296263D}">
      <selection activeCell="J10" sqref="J10"/>
      <pageMargins left="0.25" right="0.25" top="0.75" bottom="0.75" header="0.3" footer="0.3"/>
      <pageSetup orientation="landscape" r:id="rId1"/>
    </customSheetView>
  </customSheetViews>
  <mergeCells count="1">
    <mergeCell ref="A1:G1"/>
  </mergeCells>
  <conditionalFormatting sqref="E3:G8">
    <cfRule type="cellIs" dxfId="54" priority="1" operator="greaterThanOrEqual">
      <formula>100%</formula>
    </cfRule>
    <cfRule type="cellIs" dxfId="53" priority="37" operator="equal">
      <formula>0%</formula>
    </cfRule>
    <cfRule type="cellIs" dxfId="52" priority="39" operator="between">
      <formula>75%</formula>
      <formula>"99.99%"</formula>
    </cfRule>
    <cfRule type="cellIs" dxfId="51" priority="40" operator="between">
      <formula>33%</formula>
      <formula>74.99%</formula>
    </cfRule>
    <cfRule type="cellIs" dxfId="50" priority="41" operator="lessThanOrEqual">
      <formula>32.99%</formula>
    </cfRule>
  </conditionalFormatting>
  <pageMargins left="0.25" right="0.25" top="0.75" bottom="0.75" header="0.3" footer="0.3"/>
  <pageSetup orientation="landscape"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zoomScaleNormal="100" workbookViewId="0">
      <selection activeCell="I15" sqref="I15"/>
    </sheetView>
  </sheetViews>
  <sheetFormatPr baseColWidth="10" defaultRowHeight="15" x14ac:dyDescent="0.25"/>
  <cols>
    <col min="1" max="1" width="30.42578125" customWidth="1"/>
    <col min="2" max="2" width="18.140625" customWidth="1"/>
    <col min="3" max="3" width="16.5703125" customWidth="1"/>
    <col min="4" max="4" width="17.7109375" customWidth="1"/>
    <col min="5" max="5" width="11.42578125" customWidth="1"/>
    <col min="6" max="6" width="11" customWidth="1"/>
    <col min="7" max="7" width="13" customWidth="1"/>
  </cols>
  <sheetData>
    <row r="1" spans="1:10" x14ac:dyDescent="0.25">
      <c r="A1" s="313" t="s">
        <v>838</v>
      </c>
      <c r="B1" s="313"/>
      <c r="C1" s="313"/>
      <c r="D1" s="313"/>
      <c r="E1" s="313"/>
      <c r="F1" s="313"/>
      <c r="G1" s="313"/>
    </row>
    <row r="2" spans="1:10" x14ac:dyDescent="0.25">
      <c r="A2" s="87" t="s">
        <v>552</v>
      </c>
      <c r="B2" s="87" t="s">
        <v>262</v>
      </c>
      <c r="C2" s="87" t="s">
        <v>263</v>
      </c>
      <c r="D2" s="87" t="s">
        <v>551</v>
      </c>
      <c r="E2" s="87" t="s">
        <v>274</v>
      </c>
      <c r="F2" s="87" t="s">
        <v>288</v>
      </c>
      <c r="G2" s="87" t="s">
        <v>289</v>
      </c>
    </row>
    <row r="3" spans="1:10" x14ac:dyDescent="0.25">
      <c r="A3" s="88" t="s">
        <v>14</v>
      </c>
      <c r="B3" s="89">
        <f>+Ejecucion!M10</f>
        <v>834507963.5</v>
      </c>
      <c r="C3" s="89">
        <f>Ejecucion!N10</f>
        <v>706425464.80000019</v>
      </c>
      <c r="D3" s="89">
        <f>Ejecucion!O10</f>
        <v>128082498.69999993</v>
      </c>
      <c r="E3" s="68">
        <f>+Ejecucion!E77</f>
        <v>0.84651734398937251</v>
      </c>
      <c r="F3" s="59">
        <f>+Ejecucion!E68</f>
        <v>0.98480000000000012</v>
      </c>
      <c r="G3" s="59">
        <f>+Ejecucion!E86</f>
        <v>0.91565867199468631</v>
      </c>
      <c r="I3" s="80"/>
      <c r="J3" s="80"/>
    </row>
    <row r="4" spans="1:10" x14ac:dyDescent="0.25">
      <c r="A4" s="88" t="s">
        <v>34</v>
      </c>
      <c r="B4" s="89">
        <f>Ejecucion!M24</f>
        <v>2676620766.5</v>
      </c>
      <c r="C4" s="89">
        <f>Ejecucion!N24</f>
        <v>1816431083.8</v>
      </c>
      <c r="D4" s="89">
        <f>Ejecucion!O24</f>
        <v>775932101.99999988</v>
      </c>
      <c r="E4" s="68">
        <f>+Ejecucion!E78</f>
        <v>0.67862848055804326</v>
      </c>
      <c r="F4" s="59">
        <f>+Ejecucion!E69</f>
        <v>0.82873623295472032</v>
      </c>
      <c r="G4" s="59">
        <f>+Ejecucion!E87</f>
        <v>0.75368235675638173</v>
      </c>
      <c r="I4" s="80"/>
      <c r="J4" s="80"/>
    </row>
    <row r="5" spans="1:10" x14ac:dyDescent="0.25">
      <c r="A5" s="88" t="s">
        <v>835</v>
      </c>
      <c r="B5" s="89">
        <f>Ejecucion!M37</f>
        <v>2369709956.5</v>
      </c>
      <c r="C5" s="89">
        <f>Ejecucion!N37</f>
        <v>2228390362.3999996</v>
      </c>
      <c r="D5" s="89">
        <f>Ejecucion!O37</f>
        <v>133084155.20000002</v>
      </c>
      <c r="E5" s="68">
        <f>+Ejecucion!E79</f>
        <v>0.9403641809781963</v>
      </c>
      <c r="F5" s="59">
        <f>+Ejecucion!E70</f>
        <v>0.95507866071428571</v>
      </c>
      <c r="G5" s="59">
        <f>+Ejecucion!E88</f>
        <v>0.947721420846241</v>
      </c>
      <c r="I5" s="80"/>
      <c r="J5" s="80"/>
    </row>
    <row r="6" spans="1:10" x14ac:dyDescent="0.25">
      <c r="A6" s="88" t="s">
        <v>836</v>
      </c>
      <c r="B6" s="89">
        <f>Ejecucion!M49</f>
        <v>2395139246.5</v>
      </c>
      <c r="C6" s="89">
        <f>Ejecucion!N49</f>
        <v>2293203984.2999997</v>
      </c>
      <c r="D6" s="89">
        <f>Ejecucion!O49</f>
        <v>101935262.20000002</v>
      </c>
      <c r="E6" s="68">
        <f>+Ejecucion!E80</f>
        <v>0.95744077829756347</v>
      </c>
      <c r="F6" s="59">
        <f>+Ejecucion!E71</f>
        <v>0.71315241533489715</v>
      </c>
      <c r="G6" s="59">
        <f>+Ejecucion!E89</f>
        <v>0.83529659681623025</v>
      </c>
      <c r="I6" s="80"/>
      <c r="J6" s="80"/>
    </row>
    <row r="7" spans="1:10" x14ac:dyDescent="0.25">
      <c r="A7" s="88" t="s">
        <v>130</v>
      </c>
      <c r="B7" s="89">
        <f>Ejecucion!M61</f>
        <v>8559903446.5</v>
      </c>
      <c r="C7" s="89">
        <f>Ejecucion!N61</f>
        <v>1917866318</v>
      </c>
      <c r="D7" s="89">
        <f>Ejecucion!O61</f>
        <v>6642037128.5</v>
      </c>
      <c r="E7" s="68">
        <f>+Ejecucion!E81</f>
        <v>0.22405233072858821</v>
      </c>
      <c r="F7" s="59">
        <f>+Ejecucion!E72</f>
        <v>0.86111997732851586</v>
      </c>
      <c r="G7" s="59">
        <f>+Ejecucion!E90</f>
        <v>0.54258615402855204</v>
      </c>
      <c r="I7" s="80"/>
      <c r="J7" s="80"/>
    </row>
    <row r="8" spans="1:10" ht="20.25" customHeight="1" x14ac:dyDescent="0.25">
      <c r="A8" s="150" t="s">
        <v>553</v>
      </c>
      <c r="B8" s="151">
        <f>SUM(B3:B7)</f>
        <v>16835881379.5</v>
      </c>
      <c r="C8" s="151">
        <f>SUM(C3:C7)</f>
        <v>8962317213.2999992</v>
      </c>
      <c r="D8" s="151">
        <f t="shared" ref="D8" si="0">SUM(D3:D7)</f>
        <v>7781071146.6000004</v>
      </c>
      <c r="E8" s="152">
        <f>+Ejecucion!F82</f>
        <v>0.78239885119889629</v>
      </c>
      <c r="F8" s="152">
        <f>+Ejecucion!F73</f>
        <v>0.88523858345033779</v>
      </c>
      <c r="G8" s="152">
        <f>+Ejecucion!F91</f>
        <v>0.83381871732461699</v>
      </c>
      <c r="J8" s="200"/>
    </row>
  </sheetData>
  <mergeCells count="1">
    <mergeCell ref="A1:G1"/>
  </mergeCells>
  <conditionalFormatting sqref="E3:G8">
    <cfRule type="cellIs" dxfId="49" priority="1" operator="greaterThanOrEqual">
      <formula>100%</formula>
    </cfRule>
    <cfRule type="cellIs" dxfId="48" priority="2" operator="equal">
      <formula>0%</formula>
    </cfRule>
    <cfRule type="cellIs" dxfId="47" priority="3" operator="between">
      <formula>75%</formula>
      <formula>"99.99%"</formula>
    </cfRule>
    <cfRule type="cellIs" dxfId="46" priority="4" operator="between">
      <formula>33%</formula>
      <formula>74.99%</formula>
    </cfRule>
    <cfRule type="cellIs" dxfId="45" priority="5" operator="lessThanOrEqual">
      <formula>32.99%</formula>
    </cfRule>
  </conditionalFormatting>
  <pageMargins left="0.25" right="0.25" top="0.75" bottom="0.75" header="0.3" footer="0.3"/>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zoomScaleNormal="100" workbookViewId="0">
      <selection sqref="A1:G1"/>
    </sheetView>
  </sheetViews>
  <sheetFormatPr baseColWidth="10" defaultRowHeight="15" x14ac:dyDescent="0.25"/>
  <cols>
    <col min="1" max="1" width="30.42578125" customWidth="1"/>
    <col min="2" max="2" width="18.140625" customWidth="1"/>
    <col min="3" max="3" width="18.42578125" customWidth="1"/>
    <col min="4" max="4" width="17.7109375" customWidth="1"/>
    <col min="5" max="5" width="11.42578125" customWidth="1"/>
    <col min="6" max="6" width="11" customWidth="1"/>
    <col min="7" max="7" width="13" customWidth="1"/>
  </cols>
  <sheetData>
    <row r="1" spans="1:10" x14ac:dyDescent="0.25">
      <c r="A1" s="313" t="s">
        <v>838</v>
      </c>
      <c r="B1" s="313"/>
      <c r="C1" s="313"/>
      <c r="D1" s="313"/>
      <c r="E1" s="313"/>
      <c r="F1" s="313"/>
      <c r="G1" s="313"/>
    </row>
    <row r="2" spans="1:10" x14ac:dyDescent="0.25">
      <c r="A2" s="87" t="s">
        <v>552</v>
      </c>
      <c r="B2" s="87" t="s">
        <v>262</v>
      </c>
      <c r="C2" s="87" t="s">
        <v>263</v>
      </c>
      <c r="D2" s="87" t="s">
        <v>551</v>
      </c>
      <c r="E2" s="87" t="s">
        <v>274</v>
      </c>
      <c r="F2" s="87" t="s">
        <v>288</v>
      </c>
      <c r="G2" s="87" t="s">
        <v>289</v>
      </c>
    </row>
    <row r="3" spans="1:10" x14ac:dyDescent="0.25">
      <c r="A3" s="88" t="s">
        <v>14</v>
      </c>
      <c r="B3" s="89">
        <f>+Ejecucion!W10</f>
        <v>1300007304.75</v>
      </c>
      <c r="C3" s="89">
        <f>+Ejecucion!X10</f>
        <v>1149922563</v>
      </c>
      <c r="D3" s="89">
        <f>+B3-C3</f>
        <v>150084741.75</v>
      </c>
      <c r="E3" s="68">
        <f>+Ejecucion!G77</f>
        <v>0.88455084736707512</v>
      </c>
      <c r="F3" s="59">
        <f>+Ejecucion!G68</f>
        <v>1</v>
      </c>
      <c r="G3" s="59">
        <f>+Ejecucion!G86</f>
        <v>0.94227542368353756</v>
      </c>
      <c r="I3" s="80"/>
      <c r="J3" s="80"/>
    </row>
    <row r="4" spans="1:10" x14ac:dyDescent="0.25">
      <c r="A4" s="88" t="s">
        <v>34</v>
      </c>
      <c r="B4" s="89">
        <f>+Ejecucion!W24</f>
        <v>4135997404.5249996</v>
      </c>
      <c r="C4" s="89">
        <f>+Ejecucion!X24</f>
        <v>2754866772</v>
      </c>
      <c r="D4" s="89">
        <f t="shared" ref="D4:D6" si="0">+B4-C4</f>
        <v>1381130632.5249996</v>
      </c>
      <c r="E4" s="68">
        <f>+Ejecucion!G78</f>
        <v>0.66607072068904838</v>
      </c>
      <c r="F4" s="59">
        <f>+Ejecucion!G69</f>
        <v>0.77772206624416151</v>
      </c>
      <c r="G4" s="59">
        <f>+Ejecucion!G87</f>
        <v>0.72189639346660495</v>
      </c>
      <c r="I4" s="80"/>
      <c r="J4" s="80"/>
    </row>
    <row r="5" spans="1:10" x14ac:dyDescent="0.25">
      <c r="A5" s="88" t="s">
        <v>835</v>
      </c>
      <c r="B5" s="89">
        <f>+Ejecucion!W37</f>
        <v>3034738460.75</v>
      </c>
      <c r="C5" s="89">
        <f>+Ejecucion!X37</f>
        <v>2780233692</v>
      </c>
      <c r="D5" s="89">
        <f t="shared" si="0"/>
        <v>254504768.75</v>
      </c>
      <c r="E5" s="68">
        <f>+Ejecucion!G79</f>
        <v>0.91613617712311779</v>
      </c>
      <c r="F5" s="59">
        <f>+Ejecucion!G70</f>
        <v>0.92533068783068784</v>
      </c>
      <c r="G5" s="59">
        <f>+Ejecucion!G88</f>
        <v>0.92073343247690276</v>
      </c>
      <c r="I5" s="80"/>
      <c r="J5" s="80"/>
    </row>
    <row r="6" spans="1:10" x14ac:dyDescent="0.25">
      <c r="A6" s="88" t="s">
        <v>836</v>
      </c>
      <c r="B6" s="89">
        <f>+Ejecucion!W49</f>
        <v>2611993796.75</v>
      </c>
      <c r="C6" s="89">
        <f>+Ejecucion!X49</f>
        <v>2573459472</v>
      </c>
      <c r="D6" s="89">
        <f t="shared" si="0"/>
        <v>38534324.75</v>
      </c>
      <c r="E6" s="68">
        <f>+Ejecucion!G80</f>
        <v>0.98524716069465912</v>
      </c>
      <c r="F6" s="59">
        <f>+Ejecucion!G71</f>
        <v>0.81197124257940334</v>
      </c>
      <c r="G6" s="59">
        <f>+Ejecucion!G89</f>
        <v>0.89860920163703129</v>
      </c>
      <c r="I6" s="80"/>
      <c r="J6" s="80"/>
    </row>
    <row r="7" spans="1:10" x14ac:dyDescent="0.25">
      <c r="A7" s="88" t="s">
        <v>130</v>
      </c>
      <c r="B7" s="89">
        <f>+Ejecucion!W61</f>
        <v>13121925568</v>
      </c>
      <c r="C7" s="89">
        <f>+Ejecucion!X61</f>
        <v>3151883826</v>
      </c>
      <c r="D7" s="89">
        <f>+B7-C7</f>
        <v>9970041742</v>
      </c>
      <c r="E7" s="68">
        <f>+Ejecucion!G81</f>
        <v>0.24019979458551369</v>
      </c>
      <c r="F7" s="59">
        <f>+Ejecucion!G72</f>
        <v>0.91696883862794076</v>
      </c>
      <c r="G7" s="59">
        <f>+Ejecucion!G90</f>
        <v>0.57858431660672727</v>
      </c>
      <c r="I7" s="80"/>
      <c r="J7" s="80"/>
    </row>
    <row r="8" spans="1:10" ht="20.25" customHeight="1" x14ac:dyDescent="0.25">
      <c r="A8" s="150" t="s">
        <v>553</v>
      </c>
      <c r="B8" s="151">
        <f>SUM(B3:B7)</f>
        <v>24204662534.775002</v>
      </c>
      <c r="C8" s="151">
        <f>SUM(C3:C7)</f>
        <v>12410366325</v>
      </c>
      <c r="D8" s="151">
        <f t="shared" ref="D8" si="1">SUM(D3:D7)</f>
        <v>11794296209.775</v>
      </c>
      <c r="E8" s="152">
        <f>+Ejecucion!H82</f>
        <v>0.7884964898575606</v>
      </c>
      <c r="F8" s="152">
        <f>+Ejecucion!H73</f>
        <v>0.88925575876841689</v>
      </c>
      <c r="G8" s="152">
        <f>+Ejecucion!H91</f>
        <v>0.83887612431298875</v>
      </c>
      <c r="J8" s="200"/>
    </row>
  </sheetData>
  <mergeCells count="1">
    <mergeCell ref="A1:G1"/>
  </mergeCells>
  <conditionalFormatting sqref="E3:G8">
    <cfRule type="cellIs" dxfId="44" priority="1" operator="greaterThanOrEqual">
      <formula>100%</formula>
    </cfRule>
    <cfRule type="cellIs" dxfId="43" priority="2" operator="equal">
      <formula>0%</formula>
    </cfRule>
    <cfRule type="cellIs" dxfId="42" priority="3" operator="between">
      <formula>75%</formula>
      <formula>"99.99%"</formula>
    </cfRule>
    <cfRule type="cellIs" dxfId="41" priority="4" operator="between">
      <formula>33%</formula>
      <formula>74.99%</formula>
    </cfRule>
    <cfRule type="cellIs" dxfId="40" priority="5" operator="lessThanOrEqual">
      <formula>32.99%</formula>
    </cfRule>
  </conditionalFormatting>
  <pageMargins left="0.25" right="0.25" top="0.75" bottom="0.75" header="0.3" footer="0.3"/>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122"/>
  <sheetViews>
    <sheetView zoomScale="70" zoomScaleNormal="70" workbookViewId="0">
      <selection activeCell="B20" sqref="B20"/>
    </sheetView>
  </sheetViews>
  <sheetFormatPr baseColWidth="10" defaultRowHeight="15" x14ac:dyDescent="0.25"/>
  <cols>
    <col min="4" max="4" width="12.140625" bestFit="1" customWidth="1"/>
    <col min="5" max="5" width="12.7109375" bestFit="1" customWidth="1"/>
    <col min="6" max="6" width="12.28515625" bestFit="1" customWidth="1"/>
    <col min="8" max="17" width="11.42578125" customWidth="1"/>
    <col min="19" max="26" width="11.42578125" customWidth="1"/>
    <col min="28" max="35" width="11.42578125" customWidth="1"/>
  </cols>
  <sheetData>
    <row r="1" spans="1:44" x14ac:dyDescent="0.25">
      <c r="C1" s="314" t="s">
        <v>550</v>
      </c>
      <c r="D1" s="314"/>
      <c r="E1" s="314"/>
      <c r="F1" s="314"/>
      <c r="J1" s="314" t="s">
        <v>191</v>
      </c>
      <c r="K1" s="314"/>
      <c r="L1" s="314"/>
      <c r="M1" s="314"/>
      <c r="N1" s="314"/>
      <c r="O1" s="314"/>
      <c r="P1" s="314"/>
      <c r="S1" s="314" t="s">
        <v>197</v>
      </c>
      <c r="T1" s="314"/>
      <c r="U1" s="314"/>
      <c r="V1" s="314"/>
      <c r="W1" s="314"/>
      <c r="X1" s="314"/>
      <c r="Y1" s="314"/>
      <c r="AB1" s="314" t="s">
        <v>200</v>
      </c>
      <c r="AC1" s="314"/>
      <c r="AD1" s="314"/>
      <c r="AE1" s="314"/>
      <c r="AF1" s="314"/>
      <c r="AG1" s="314"/>
      <c r="AH1" s="314"/>
      <c r="AK1" s="314" t="s">
        <v>204</v>
      </c>
      <c r="AL1" s="314"/>
      <c r="AM1" s="314"/>
      <c r="AN1" s="314"/>
      <c r="AO1" s="314"/>
      <c r="AP1" s="314"/>
      <c r="AQ1" s="314"/>
    </row>
    <row r="2" spans="1:44" x14ac:dyDescent="0.25">
      <c r="A2" t="s">
        <v>275</v>
      </c>
      <c r="B2" t="s">
        <v>9</v>
      </c>
      <c r="C2" t="s">
        <v>191</v>
      </c>
      <c r="D2" t="s">
        <v>197</v>
      </c>
      <c r="E2" t="s">
        <v>200</v>
      </c>
      <c r="F2" t="s">
        <v>204</v>
      </c>
      <c r="L2" s="52" t="s">
        <v>282</v>
      </c>
      <c r="M2" s="52" t="s">
        <v>283</v>
      </c>
      <c r="N2" s="52" t="s">
        <v>284</v>
      </c>
      <c r="O2" s="52" t="s">
        <v>285</v>
      </c>
      <c r="P2" s="52" t="s">
        <v>286</v>
      </c>
      <c r="U2" s="52" t="s">
        <v>282</v>
      </c>
      <c r="V2" s="52" t="s">
        <v>283</v>
      </c>
      <c r="W2" s="52" t="s">
        <v>284</v>
      </c>
      <c r="X2" s="52" t="s">
        <v>285</v>
      </c>
      <c r="Y2" s="52" t="s">
        <v>286</v>
      </c>
      <c r="AD2" s="52" t="s">
        <v>282</v>
      </c>
      <c r="AE2" s="52" t="s">
        <v>283</v>
      </c>
      <c r="AF2" s="52" t="s">
        <v>284</v>
      </c>
      <c r="AG2" s="52" t="s">
        <v>285</v>
      </c>
      <c r="AH2" s="52" t="s">
        <v>286</v>
      </c>
      <c r="AM2" s="52" t="s">
        <v>282</v>
      </c>
      <c r="AN2" s="52" t="s">
        <v>283</v>
      </c>
      <c r="AO2" s="52" t="s">
        <v>284</v>
      </c>
      <c r="AP2" s="52" t="s">
        <v>285</v>
      </c>
      <c r="AQ2" s="52" t="s">
        <v>286</v>
      </c>
    </row>
    <row r="3" spans="1:44" x14ac:dyDescent="0.25">
      <c r="A3" t="str">
        <f>Metas!$A$3</f>
        <v>SF-PY1</v>
      </c>
      <c r="B3" t="str">
        <f>Metas!B3</f>
        <v>SF-PY1.1</v>
      </c>
      <c r="C3" s="122">
        <f>Metas!R3</f>
        <v>1</v>
      </c>
      <c r="D3" s="66">
        <f>Metas!W3</f>
        <v>1725</v>
      </c>
      <c r="E3" s="66">
        <f>Metas!AC3</f>
        <v>2589</v>
      </c>
      <c r="F3" s="66">
        <f>Metas!AI3</f>
        <v>2589</v>
      </c>
      <c r="J3" s="59" t="str">
        <f>IF(C3&lt;8.99%,"Rojo",IF(C3&lt;19.99%,"Amarillo",IF(C3&lt;24.99%,"Verde","Azul")))</f>
        <v>Azul</v>
      </c>
      <c r="K3" s="75" t="s">
        <v>183</v>
      </c>
      <c r="L3">
        <f>COUNTIFS($A$3:$A$118,$K$3,$J$3:$J$118,$A$119)</f>
        <v>0</v>
      </c>
      <c r="M3">
        <f>COUNTIFS($A$3:$A$118,$K$3,$J$3:$J$118,$A$120)</f>
        <v>0</v>
      </c>
      <c r="N3">
        <f>COUNTIFS($A$3:$A$118,$K$3,$J$3:$J$118,$A$121)</f>
        <v>0</v>
      </c>
      <c r="O3">
        <f>COUNTIFS($A$3:$A$118,$K$3,$J$3:$J$118,$A$122)</f>
        <v>5</v>
      </c>
      <c r="P3">
        <f>SUM(L3:O3)</f>
        <v>5</v>
      </c>
      <c r="Q3" s="85">
        <f>IFERROR(((100/P3)*(SUM(M3:O3)/100)),0)</f>
        <v>1</v>
      </c>
      <c r="S3" s="59" t="str">
        <f>IF(D3&lt;15.99%,"Rojo",IF(D3&lt;36.99%,"Amarillo",IF(D3&lt;49.99%,"Verde","Azul")))</f>
        <v>Azul</v>
      </c>
      <c r="T3" s="75" t="s">
        <v>183</v>
      </c>
      <c r="U3">
        <f>COUNTIFS($A$3:$A$118,$T$3,$S$3:$S$118,$A$119)</f>
        <v>0</v>
      </c>
      <c r="V3">
        <f>COUNTIFS($A$3:$A$118,$T$3,$S$3:$S$118,$A$120)</f>
        <v>0</v>
      </c>
      <c r="W3">
        <f>COUNTIFS($A$3:$A$118,$T$3,$S$3:$S$118,$A$121)</f>
        <v>0</v>
      </c>
      <c r="X3">
        <f>COUNTIFS($A$3:$A$118,$T$3,$S$3:$S$118,$A$122)</f>
        <v>5</v>
      </c>
      <c r="Y3">
        <f>SUM(U3:X3)</f>
        <v>5</v>
      </c>
      <c r="Z3" s="85">
        <f>IFERROR(((100/Y3)*(SUM(V3:X3)/100)),0)</f>
        <v>1</v>
      </c>
      <c r="AB3" s="59" t="str">
        <f>IF(E3&lt;24.99%,"Rojo",IF(E3&lt;55.99%,"Amarillo",IF(E3&lt;74.99%,"Verde","Azul")))</f>
        <v>Azul</v>
      </c>
      <c r="AC3" s="75" t="s">
        <v>183</v>
      </c>
      <c r="AD3">
        <f>COUNTIFS($A$3:$A$118,$AC$3,$AB$3:$AB$118,$A$119)</f>
        <v>0</v>
      </c>
      <c r="AE3">
        <f>COUNTIFS($A$3:$A$118,$AC$3,$AB$3:$AB$118,$A$120)</f>
        <v>0</v>
      </c>
      <c r="AF3">
        <f>COUNTIFS($A$3:$A$118,$AC$3,$AB$3:$AB$118,$A$121)</f>
        <v>0</v>
      </c>
      <c r="AG3">
        <f>COUNTIFS($A$3:$A$118,$AC$3,$AB$3:$AB$118,$A$122)</f>
        <v>5</v>
      </c>
      <c r="AH3">
        <f>SUM(AD3:AG3)</f>
        <v>5</v>
      </c>
      <c r="AI3" s="85">
        <f>IFERROR(((100/AH3)*(SUM(AE3:AG3)/100)),0)</f>
        <v>1</v>
      </c>
      <c r="AK3" s="59" t="str">
        <f>IF(F3&lt;33.99%,"Rojo",IF(F3&lt;75.99%,"Amarillo",IF(F3&lt;98.99%,"Verde","Azul")))</f>
        <v>Azul</v>
      </c>
      <c r="AL3" s="75" t="s">
        <v>183</v>
      </c>
      <c r="AM3">
        <f>COUNTIFS($A$3:$A$118,$AL$3,$AK$3:$AK$118,$A$119)</f>
        <v>1</v>
      </c>
      <c r="AN3">
        <f>COUNTIFS($A$3:$A$118,$AL$3,$AK$3:$AK$118,$A$120)</f>
        <v>1</v>
      </c>
      <c r="AO3">
        <f>COUNTIFS($A$3:$A$118,$AL$3,$AK$3:$AK$118,$A$121)</f>
        <v>0</v>
      </c>
      <c r="AP3">
        <f>COUNTIFS($A$3:$A$118,$AL$3,$AK$3:$AK$118,$A$122)</f>
        <v>3</v>
      </c>
      <c r="AQ3">
        <f>SUM(AM3:AP3)</f>
        <v>5</v>
      </c>
      <c r="AR3" s="85">
        <f>IFERROR(((100/AQ3)*(SUM(AN3:AP3)/100)),0)</f>
        <v>0.8</v>
      </c>
    </row>
    <row r="4" spans="1:44" x14ac:dyDescent="0.25">
      <c r="A4" t="str">
        <f>Metas!$A$3</f>
        <v>SF-PY1</v>
      </c>
      <c r="B4" t="str">
        <f>Metas!B4</f>
        <v>SF-PY1.2</v>
      </c>
      <c r="C4" s="123">
        <f>Metas!R4</f>
        <v>1</v>
      </c>
      <c r="D4" s="66">
        <f>Metas!W4</f>
        <v>1725</v>
      </c>
      <c r="E4" s="66">
        <f>Metas!AC4</f>
        <v>2589</v>
      </c>
      <c r="F4" s="66">
        <f>Metas!AI4</f>
        <v>2589</v>
      </c>
      <c r="J4" s="59" t="str">
        <f t="shared" ref="J4:J67" si="0">IF(C4&lt;8.99%,"Rojo",IF(C4&lt;19.99%,"Amarillo",IF(C4&lt;24.99%,"Verde","Azul")))</f>
        <v>Azul</v>
      </c>
      <c r="K4" s="75" t="s">
        <v>184</v>
      </c>
      <c r="L4">
        <f>COUNTIFS($A$3:$A$118,$K$4,$J$3:$J$118,$A$119)</f>
        <v>0</v>
      </c>
      <c r="M4">
        <f>COUNTIFS($A$3:$A$118,$K$4,$J$3:$J$118,$A$120)</f>
        <v>0</v>
      </c>
      <c r="N4">
        <f>COUNTIFS($A$3:$A$118,$K$4,$J$3:$J$118,$A$121)</f>
        <v>0</v>
      </c>
      <c r="O4">
        <f>COUNTIFS($A$3:$A$118,$K$4,$J$3:$J$118,$A$122)</f>
        <v>5</v>
      </c>
      <c r="P4">
        <f>SUM(L4:O4)</f>
        <v>5</v>
      </c>
      <c r="Q4" s="85">
        <f t="shared" ref="Q4:Q21" si="1">IFERROR(((100/P4)*(SUM(M4:O4)/100)),0)</f>
        <v>1</v>
      </c>
      <c r="S4" s="59" t="str">
        <f t="shared" ref="S4:S67" si="2">IF(D4&lt;15.99%,"Rojo",IF(D4&lt;36.99%,"Amarillo",IF(D4&lt;49.99%,"Verde","Azul")))</f>
        <v>Azul</v>
      </c>
      <c r="T4" s="75" t="s">
        <v>184</v>
      </c>
      <c r="U4">
        <f>COUNTIFS($A$3:$A$118,$T$4,$S$3:$S$118,$A$119)</f>
        <v>4</v>
      </c>
      <c r="V4">
        <f>COUNTIFS($A$3:$A$118,$T$4,$S$3:$S$118,$A$120)</f>
        <v>0</v>
      </c>
      <c r="W4">
        <f>COUNTIFS($A$3:$A$118,$T$4,$S$3:$S$118,$A$121)</f>
        <v>0</v>
      </c>
      <c r="X4">
        <f>COUNTIFS($A$3:$A$118,$T$4,$S$3:$S$118,$A$122)</f>
        <v>1</v>
      </c>
      <c r="Y4" s="192">
        <v>1</v>
      </c>
      <c r="Z4" s="85">
        <f>IFERROR(((100/Y4)*(SUM(V4:X4)/100)),0)</f>
        <v>1</v>
      </c>
      <c r="AB4" s="59" t="str">
        <f t="shared" ref="AB4:AB67" si="3">IF(E4&lt;24.99%,"Rojo",IF(E4&lt;55.99%,"Amarillo",IF(E4&lt;74.99%,"Verde","Azul")))</f>
        <v>Azul</v>
      </c>
      <c r="AC4" s="75" t="s">
        <v>184</v>
      </c>
      <c r="AD4">
        <f>COUNTIFS($A$3:$A$118,$AC$4,$AB$3:$AB$118,$A$119)</f>
        <v>4</v>
      </c>
      <c r="AE4">
        <f>COUNTIFS($A$3:$A$118,$AC$4,$AB$3:$AB$118,$A$120)</f>
        <v>0</v>
      </c>
      <c r="AF4">
        <f>COUNTIFS($A$3:$A$118,$AC$4,$AB$3:$AB$118,$A$121)</f>
        <v>0</v>
      </c>
      <c r="AG4">
        <f>COUNTIFS($A$3:$A$118,$AC$4,$AB$3:$AB$118,$A$122)</f>
        <v>1</v>
      </c>
      <c r="AH4">
        <f t="shared" ref="AH4:AH9" si="4">SUM(AD4:AG4)</f>
        <v>5</v>
      </c>
      <c r="AI4" s="85">
        <f t="shared" ref="AI4:AI9" si="5">IFERROR(((100/AH4)*(SUM(AE4:AG4)/100)),0)</f>
        <v>0.2</v>
      </c>
      <c r="AK4" s="59" t="str">
        <f t="shared" ref="AK4:AK67" si="6">IF(F4&lt;33.99%,"Rojo",IF(F4&lt;75.99%,"Amarillo",IF(F4&lt;98.99%,"Verde","Azul")))</f>
        <v>Azul</v>
      </c>
      <c r="AL4" s="75" t="s">
        <v>184</v>
      </c>
      <c r="AM4">
        <f>COUNTIFS($A$3:$A$118,$AL$4,$AK$3:$AK$118,$A$119)</f>
        <v>4</v>
      </c>
      <c r="AN4">
        <f>COUNTIFS($A$3:$A$118,$AL$4,$AK$3:$AK$118,$A$120)</f>
        <v>0</v>
      </c>
      <c r="AO4">
        <f>COUNTIFS($A$3:$A$118,$AL$4,$AK$3:$AK$118,$A$121)</f>
        <v>0</v>
      </c>
      <c r="AP4">
        <f>COUNTIFS($A$3:$A$118,$AL$4,$AK$3:$AK$118,$A$122)</f>
        <v>1</v>
      </c>
      <c r="AQ4">
        <f t="shared" ref="AQ4:AQ9" si="7">SUM(AM4:AP4)</f>
        <v>5</v>
      </c>
      <c r="AR4" s="85">
        <f t="shared" ref="AR4:AR40" si="8">IFERROR(((100/AQ4)*(SUM(AN4:AP4)/100)),0)</f>
        <v>0.2</v>
      </c>
    </row>
    <row r="5" spans="1:44" x14ac:dyDescent="0.25">
      <c r="A5" t="str">
        <f>Metas!$A$3</f>
        <v>SF-PY1</v>
      </c>
      <c r="B5" t="str">
        <f>Metas!B5</f>
        <v>SF-PY1.3</v>
      </c>
      <c r="C5" s="123">
        <f>Metas!R5</f>
        <v>1</v>
      </c>
      <c r="D5" s="66">
        <f>Metas!W5</f>
        <v>1725</v>
      </c>
      <c r="E5" s="66">
        <f>Metas!AC5</f>
        <v>2589</v>
      </c>
      <c r="F5" s="66">
        <f>Metas!AI5</f>
        <v>2589</v>
      </c>
      <c r="J5" s="59" t="str">
        <f t="shared" si="0"/>
        <v>Azul</v>
      </c>
      <c r="K5" s="75" t="s">
        <v>214</v>
      </c>
      <c r="L5">
        <f t="shared" ref="L5:L40" si="9">COUNTIFS($A$3:$A$118,$K5,$J$3:$J$118,$A$119)</f>
        <v>0</v>
      </c>
      <c r="M5">
        <f>COUNTIFS($A$3:$A$118,$K$5,$J$3:$J$118,$A$120)</f>
        <v>0</v>
      </c>
      <c r="N5">
        <f>COUNTIFS($A$3:$A$118,$K$5,$J$3:$J$118,$A$121)</f>
        <v>0</v>
      </c>
      <c r="O5">
        <f>COUNTIFS($A$3:$A$118,$K$5,$J$3:$J$118,$A$122)</f>
        <v>5</v>
      </c>
      <c r="P5">
        <f t="shared" ref="P5:P9" si="10">SUM(L5:O5)</f>
        <v>5</v>
      </c>
      <c r="Q5" s="85">
        <f t="shared" si="1"/>
        <v>1</v>
      </c>
      <c r="S5" s="59" t="str">
        <f t="shared" si="2"/>
        <v>Azul</v>
      </c>
      <c r="T5" s="75" t="s">
        <v>214</v>
      </c>
      <c r="U5">
        <f>COUNTIFS($A$3:$A$118,$T$5,$S$3:$S$118,$A$119)</f>
        <v>0</v>
      </c>
      <c r="V5">
        <f>COUNTIFS($A$3:$A$118,$T$5,$S$3:$S$118,$A$120)</f>
        <v>0</v>
      </c>
      <c r="W5">
        <f>COUNTIFS($A$3:$A$118,$T$5,$S$3:$S$118,$A$121)</f>
        <v>0</v>
      </c>
      <c r="X5">
        <f>COUNTIFS($A$3:$A$118,$T$5,$S$3:$S$118,$A$122)</f>
        <v>5</v>
      </c>
      <c r="Y5">
        <f t="shared" ref="Y5:Y9" si="11">SUM(U5:X5)</f>
        <v>5</v>
      </c>
      <c r="Z5" s="85">
        <f t="shared" ref="Z5:Z9" si="12">IFERROR(((100/Y5)*(SUM(V5:X5)/100)),0)</f>
        <v>1</v>
      </c>
      <c r="AB5" s="59" t="str">
        <f t="shared" si="3"/>
        <v>Azul</v>
      </c>
      <c r="AC5" s="75" t="s">
        <v>214</v>
      </c>
      <c r="AD5">
        <f>COUNTIFS($A$3:$A$118,$AC$5,$AB$3:$AB$118,$A$119)</f>
        <v>0</v>
      </c>
      <c r="AE5">
        <f>COUNTIFS($A$3:$A$118,$AC$5,$AB$3:$AB$118,$A$120)</f>
        <v>0</v>
      </c>
      <c r="AF5">
        <f>COUNTIFS($A$3:$A$118,$AC$5,$AB$3:$AB$118,$A$121)</f>
        <v>0</v>
      </c>
      <c r="AG5">
        <f>COUNTIFS($A$3:$A$118,$AC$5,$AB$3:$AB$118,$A$122)</f>
        <v>5</v>
      </c>
      <c r="AH5">
        <f t="shared" si="4"/>
        <v>5</v>
      </c>
      <c r="AI5" s="85">
        <f t="shared" si="5"/>
        <v>1</v>
      </c>
      <c r="AK5" s="59" t="str">
        <f t="shared" si="6"/>
        <v>Azul</v>
      </c>
      <c r="AL5" s="75" t="s">
        <v>214</v>
      </c>
      <c r="AM5">
        <f>COUNTIFS($A$3:$A$118,$AL$5,$AK$3:$AK$118,$A$119)</f>
        <v>0</v>
      </c>
      <c r="AN5">
        <f>COUNTIFS($A$3:$A$118,$AL$5,$AK$3:$AK$118,$A$120)</f>
        <v>1</v>
      </c>
      <c r="AO5">
        <f>COUNTIFS($A$3:$A$118,$AL$5,$AK$3:$AK$118,$A$121)</f>
        <v>0</v>
      </c>
      <c r="AP5">
        <f>COUNTIFS($A$3:$A$118,$AL$5,$AK$3:$AK$118,$A$122)</f>
        <v>4</v>
      </c>
      <c r="AQ5">
        <f>SUM(AM5:AP5)</f>
        <v>5</v>
      </c>
      <c r="AR5" s="85">
        <f t="shared" si="8"/>
        <v>1</v>
      </c>
    </row>
    <row r="6" spans="1:44" x14ac:dyDescent="0.25">
      <c r="A6" t="str">
        <f>Metas!$A$3</f>
        <v>SF-PY1</v>
      </c>
      <c r="B6" t="str">
        <f>Metas!B6</f>
        <v>SF-PY1.4</v>
      </c>
      <c r="C6" s="123">
        <f>Metas!R6</f>
        <v>1</v>
      </c>
      <c r="D6" s="66">
        <f>Metas!W6</f>
        <v>0.5</v>
      </c>
      <c r="E6" s="66">
        <f>Metas!AC6</f>
        <v>0.75</v>
      </c>
      <c r="F6" s="66">
        <f>Metas!AI6</f>
        <v>0</v>
      </c>
      <c r="J6" s="59" t="str">
        <f t="shared" si="0"/>
        <v>Azul</v>
      </c>
      <c r="K6" s="75" t="s">
        <v>225</v>
      </c>
      <c r="L6">
        <f t="shared" si="9"/>
        <v>0</v>
      </c>
      <c r="M6">
        <f>COUNTIFS($A$3:$A$118,$K$6,$J$3:$J$118,$A$120)</f>
        <v>0</v>
      </c>
      <c r="N6">
        <f>COUNTIFS($A$3:$A$118,$K$6,$J$3:$J$118,$A$121)</f>
        <v>0</v>
      </c>
      <c r="O6">
        <f>COUNTIFS($A$3:$A$118,$K$6,$J$3:$J$118,$A$122)</f>
        <v>9</v>
      </c>
      <c r="P6">
        <f t="shared" si="10"/>
        <v>9</v>
      </c>
      <c r="Q6" s="85">
        <f t="shared" si="1"/>
        <v>0.99999999999999989</v>
      </c>
      <c r="S6" s="59" t="str">
        <f t="shared" si="2"/>
        <v>Azul</v>
      </c>
      <c r="T6" s="75" t="s">
        <v>225</v>
      </c>
      <c r="U6">
        <f>COUNTIFS($A$3:$A$118,$T$6,$S$3:$S$118,$A$119)</f>
        <v>0</v>
      </c>
      <c r="V6">
        <f>COUNTIFS($A$3:$A$118,$T$6,$S$3:$S$118,$A$120)</f>
        <v>0</v>
      </c>
      <c r="W6">
        <f>COUNTIFS($A$3:$A$118,$T$6,$S$3:$S$118,$A$121)</f>
        <v>0</v>
      </c>
      <c r="X6">
        <f>COUNTIFS($A$3:$A$118,$T$6,$S$3:$S$118,$A$122)</f>
        <v>9</v>
      </c>
      <c r="Y6">
        <f t="shared" si="11"/>
        <v>9</v>
      </c>
      <c r="Z6" s="85">
        <f t="shared" si="12"/>
        <v>0.99999999999999989</v>
      </c>
      <c r="AB6" s="59" t="str">
        <f t="shared" si="3"/>
        <v>Azul</v>
      </c>
      <c r="AC6" s="75" t="s">
        <v>225</v>
      </c>
      <c r="AD6">
        <f>COUNTIFS($A$3:$A$118,$AC$6,$AB$3:$AB$118,$A$119)</f>
        <v>0</v>
      </c>
      <c r="AE6">
        <f>COUNTIFS($A$3:$A$118,$AC$6,$AB$3:$AB$118,$A$120)</f>
        <v>0</v>
      </c>
      <c r="AF6">
        <f>COUNTIFS($A$3:$A$118,$AC$6,$AB$3:$AB$118,$A$121)</f>
        <v>0</v>
      </c>
      <c r="AG6">
        <f>COUNTIFS($A$3:$A$118,$AC$6,$AB$3:$AB$118,$A$122)</f>
        <v>9</v>
      </c>
      <c r="AH6">
        <f t="shared" si="4"/>
        <v>9</v>
      </c>
      <c r="AI6" s="85">
        <f t="shared" si="5"/>
        <v>0.99999999999999989</v>
      </c>
      <c r="AK6" s="59" t="str">
        <f t="shared" si="6"/>
        <v>Rojo</v>
      </c>
      <c r="AL6" s="75" t="s">
        <v>225</v>
      </c>
      <c r="AM6">
        <f>COUNTIFS($A$3:$A$118,$AL$6,$AK$3:$AK$118,$A$119)</f>
        <v>0</v>
      </c>
      <c r="AN6">
        <f>COUNTIFS($A$3:$A$118,$AL$6,$AK$3:$AK$118,$A$120)</f>
        <v>4</v>
      </c>
      <c r="AO6">
        <f>COUNTIFS($A$3:$A$118,$AL$6,$AK$3:$AK$118,$A$121)</f>
        <v>0</v>
      </c>
      <c r="AP6">
        <f>COUNTIFS($A$3:$A$118,$AL$6,$AK$3:$AK$118,$A$122)</f>
        <v>5</v>
      </c>
      <c r="AQ6">
        <f t="shared" si="7"/>
        <v>9</v>
      </c>
      <c r="AR6" s="85">
        <f t="shared" si="8"/>
        <v>0.99999999999999989</v>
      </c>
    </row>
    <row r="7" spans="1:44" x14ac:dyDescent="0.25">
      <c r="A7" t="str">
        <f>Metas!$A$3</f>
        <v>SF-PY1</v>
      </c>
      <c r="B7" t="str">
        <f>Metas!B7</f>
        <v>SF-PY1.5</v>
      </c>
      <c r="C7" s="123">
        <f>Metas!R7</f>
        <v>1</v>
      </c>
      <c r="D7" s="66">
        <f>Metas!W7</f>
        <v>0.5</v>
      </c>
      <c r="E7" s="66">
        <f>Metas!AC7</f>
        <v>0.75</v>
      </c>
      <c r="F7" s="66">
        <f>Metas!AI7</f>
        <v>0.75</v>
      </c>
      <c r="J7" s="59" t="str">
        <f t="shared" si="0"/>
        <v>Azul</v>
      </c>
      <c r="K7" s="75" t="s">
        <v>235</v>
      </c>
      <c r="L7">
        <f t="shared" si="9"/>
        <v>0</v>
      </c>
      <c r="M7">
        <f>COUNTIFS($A$3:$A$118,$K$7,$J$3:$J$118,$A$120)</f>
        <v>0</v>
      </c>
      <c r="N7">
        <f>COUNTIFS($A$3:$A$118,$K$7,$J$3:$J$118,$A$121)</f>
        <v>0</v>
      </c>
      <c r="O7">
        <f>COUNTIFS($A$3:$A$118,$K$7,$J$3:$J$118,$A$122)</f>
        <v>1</v>
      </c>
      <c r="P7">
        <f t="shared" si="10"/>
        <v>1</v>
      </c>
      <c r="Q7" s="85">
        <f t="shared" si="1"/>
        <v>1</v>
      </c>
      <c r="S7" s="59" t="str">
        <f t="shared" si="2"/>
        <v>Azul</v>
      </c>
      <c r="T7" s="75" t="s">
        <v>235</v>
      </c>
      <c r="U7">
        <f>COUNTIFS($A$3:$A$118,$T$7,$S$3:$S$118,$A$119)</f>
        <v>0</v>
      </c>
      <c r="V7">
        <f>COUNTIFS($A$3:$A$118,$T$7,$S$3:$S$118,$A$120)</f>
        <v>0</v>
      </c>
      <c r="W7">
        <f>COUNTIFS($A$3:$A$118,$T$7,$S$3:$S$118,$A$121)</f>
        <v>0</v>
      </c>
      <c r="X7">
        <f>COUNTIFS($A$3:$A$118,$T$7,$S$3:$S$118,$A$122)</f>
        <v>1</v>
      </c>
      <c r="Y7">
        <f t="shared" si="11"/>
        <v>1</v>
      </c>
      <c r="Z7" s="85">
        <f t="shared" si="12"/>
        <v>1</v>
      </c>
      <c r="AB7" s="59" t="str">
        <f t="shared" si="3"/>
        <v>Azul</v>
      </c>
      <c r="AC7" s="75" t="s">
        <v>235</v>
      </c>
      <c r="AD7">
        <f>COUNTIFS($A$3:$A$118,$AC$7,$AB$3:$AB$118,$A$119)</f>
        <v>0</v>
      </c>
      <c r="AE7">
        <f>COUNTIFS($A$3:$A$118,$AC$7,$AB$3:$AB$118,$A$120)</f>
        <v>0</v>
      </c>
      <c r="AF7">
        <f>COUNTIFS($A$3:$A$118,$AC$7,$AB$3:$AB$118,$A$121)</f>
        <v>0</v>
      </c>
      <c r="AG7">
        <f>COUNTIFS($A$3:$A$118,$AC$7,$AB$3:$AB$118,$A$122)</f>
        <v>1</v>
      </c>
      <c r="AH7">
        <f t="shared" si="4"/>
        <v>1</v>
      </c>
      <c r="AI7" s="85">
        <f t="shared" si="5"/>
        <v>1</v>
      </c>
      <c r="AK7" s="59" t="str">
        <f t="shared" si="6"/>
        <v>Amarillo</v>
      </c>
      <c r="AL7" s="75" t="s">
        <v>235</v>
      </c>
      <c r="AM7">
        <f>COUNTIFS($A$3:$A$118,$AL$7,$AK$3:$AK$118,$A$119)</f>
        <v>0</v>
      </c>
      <c r="AN7">
        <f>COUNTIFS($A$3:$A$118,$AL$7,$AK$3:$AK$118,$A$120)</f>
        <v>0</v>
      </c>
      <c r="AO7">
        <f>COUNTIFS($A$3:$A$118,$AL$7,$AK$3:$AK$118,$A$121)</f>
        <v>0</v>
      </c>
      <c r="AP7">
        <f>COUNTIFS($A$3:$A$118,$AL$7,$AK$3:$AK$118,$A$122)</f>
        <v>1</v>
      </c>
      <c r="AQ7">
        <f t="shared" si="7"/>
        <v>1</v>
      </c>
      <c r="AR7" s="85">
        <f t="shared" si="8"/>
        <v>1</v>
      </c>
    </row>
    <row r="8" spans="1:44" x14ac:dyDescent="0.25">
      <c r="A8" t="str">
        <f>Metas!$A$8</f>
        <v>SF-PY2</v>
      </c>
      <c r="B8" t="str">
        <f>Metas!B8</f>
        <v>SF-PY2.1</v>
      </c>
      <c r="C8" s="123">
        <f>Metas!R8</f>
        <v>1</v>
      </c>
      <c r="D8" s="66">
        <f>Metas!W8</f>
        <v>1.5</v>
      </c>
      <c r="E8" s="66">
        <f>Metas!AC8</f>
        <v>2.25</v>
      </c>
      <c r="F8" s="66">
        <f>Metas!AI8</f>
        <v>2.25</v>
      </c>
      <c r="J8" s="59" t="str">
        <f t="shared" si="0"/>
        <v>Azul</v>
      </c>
      <c r="K8" s="75" t="s">
        <v>237</v>
      </c>
      <c r="L8">
        <f t="shared" si="9"/>
        <v>0</v>
      </c>
      <c r="M8">
        <f>COUNTIFS($A$3:$A$118,$K$8,$J$3:$J$118,$A$120)</f>
        <v>0</v>
      </c>
      <c r="N8">
        <f>COUNTIFS($A$3:$A$118,$K$8,$J$3:$J$118,$A$121)</f>
        <v>0</v>
      </c>
      <c r="O8">
        <f>COUNTIFS($A$3:$A$118,$K$8,$J$3:$J$118,$A$122)</f>
        <v>3</v>
      </c>
      <c r="P8">
        <f t="shared" si="10"/>
        <v>3</v>
      </c>
      <c r="Q8" s="85">
        <f t="shared" si="1"/>
        <v>1</v>
      </c>
      <c r="S8" s="59" t="str">
        <f t="shared" si="2"/>
        <v>Azul</v>
      </c>
      <c r="T8" s="75" t="s">
        <v>237</v>
      </c>
      <c r="U8">
        <f>COUNTIFS($A$3:$A$118,$T$8,$S$3:$S$118,$A$119)</f>
        <v>0</v>
      </c>
      <c r="V8">
        <f>COUNTIFS($A$3:$A$118,$T$8,$S$3:$S$118,$A$120)</f>
        <v>0</v>
      </c>
      <c r="W8">
        <f>COUNTIFS($A$3:$A$118,$T$8,$S$3:$S$118,$A$121)</f>
        <v>0</v>
      </c>
      <c r="X8">
        <f>COUNTIFS($A$3:$A$118,$T$8,$S$3:$S$118,$A$122)</f>
        <v>3</v>
      </c>
      <c r="Y8">
        <f t="shared" si="11"/>
        <v>3</v>
      </c>
      <c r="Z8" s="85">
        <f t="shared" si="12"/>
        <v>1</v>
      </c>
      <c r="AB8" s="59" t="str">
        <f t="shared" si="3"/>
        <v>Azul</v>
      </c>
      <c r="AC8" s="75" t="s">
        <v>237</v>
      </c>
      <c r="AD8">
        <f>COUNTIFS($A$3:$A$118,$AC$8,$AB$3:$AB$118,$A$119)</f>
        <v>0</v>
      </c>
      <c r="AE8">
        <f>COUNTIFS($A$3:$A$118,$AC$8,$AB$3:$AB$118,$A$120)</f>
        <v>0</v>
      </c>
      <c r="AF8">
        <f>COUNTIFS($A$3:$A$118,$AC$8,$AB$3:$AB$118,$A$121)</f>
        <v>0</v>
      </c>
      <c r="AG8">
        <f>COUNTIFS($A$3:$A$118,$AC$8,$AB$3:$AB$118,$A$122)</f>
        <v>3</v>
      </c>
      <c r="AH8">
        <f t="shared" si="4"/>
        <v>3</v>
      </c>
      <c r="AI8" s="85">
        <f t="shared" si="5"/>
        <v>1</v>
      </c>
      <c r="AK8" s="59" t="str">
        <f t="shared" si="6"/>
        <v>Azul</v>
      </c>
      <c r="AL8" s="75" t="s">
        <v>237</v>
      </c>
      <c r="AM8">
        <f>COUNTIFS($A$3:$A$118,$AL$8,$AK$3:$AK$118,$A$119)</f>
        <v>0</v>
      </c>
      <c r="AN8">
        <f>COUNTIFS($A$3:$A$118,$AL$8,$AK$3:$AK$118,$A$120)</f>
        <v>3</v>
      </c>
      <c r="AO8">
        <f>COUNTIFS($A$3:$A$118,$AL$8,$AK$3:$AK$118,$A$121)</f>
        <v>0</v>
      </c>
      <c r="AP8">
        <f>COUNTIFS($A$3:$A$118,$AL$8,$AK$3:$AK$118,$A$122)</f>
        <v>0</v>
      </c>
      <c r="AQ8">
        <f t="shared" si="7"/>
        <v>3</v>
      </c>
      <c r="AR8" s="85">
        <f t="shared" si="8"/>
        <v>1</v>
      </c>
    </row>
    <row r="9" spans="1:44" x14ac:dyDescent="0.25">
      <c r="A9" t="str">
        <f>Metas!$A$8</f>
        <v>SF-PY2</v>
      </c>
      <c r="B9" t="str">
        <f>Metas!B9</f>
        <v>SF-PY2.2</v>
      </c>
      <c r="C9" s="123" t="str">
        <f>Metas!R9</f>
        <v/>
      </c>
      <c r="D9" s="66">
        <f>Metas!W9</f>
        <v>0</v>
      </c>
      <c r="E9" s="66">
        <f>Metas!AC9</f>
        <v>0</v>
      </c>
      <c r="F9" s="66">
        <f>Metas!AI9</f>
        <v>0</v>
      </c>
      <c r="J9" s="59" t="str">
        <f t="shared" si="0"/>
        <v>Azul</v>
      </c>
      <c r="K9" s="75" t="s">
        <v>241</v>
      </c>
      <c r="L9">
        <f t="shared" si="9"/>
        <v>0</v>
      </c>
      <c r="M9">
        <f t="shared" ref="M9:M40" si="13">COUNTIFS($A$3:$A$118,$K9,$J$3:$J$118,$A$120)</f>
        <v>0</v>
      </c>
      <c r="N9">
        <f t="shared" ref="N9:N40" si="14">COUNTIFS($A$3:$A$118,$K9,$J$3:$J$118,$A$121)</f>
        <v>0</v>
      </c>
      <c r="O9">
        <f t="shared" ref="O9:O40" si="15">COUNTIFS($A$3:$A$118,$K9,$J$3:$J$118,$A$122)</f>
        <v>3</v>
      </c>
      <c r="P9">
        <f t="shared" si="10"/>
        <v>3</v>
      </c>
      <c r="Q9" s="85">
        <f t="shared" si="1"/>
        <v>1</v>
      </c>
      <c r="S9" s="59" t="str">
        <f t="shared" si="2"/>
        <v>Rojo</v>
      </c>
      <c r="T9" s="75" t="s">
        <v>241</v>
      </c>
      <c r="U9">
        <f t="shared" ref="U9:U40" si="16">COUNTIFS($A$3:$A$118,$T9,$S$3:$S$118,$A$119)</f>
        <v>0</v>
      </c>
      <c r="V9">
        <f t="shared" ref="V9:V40" si="17">COUNTIFS($A$3:$A$118,$T9,$S$3:$S$118,$A$120)</f>
        <v>0</v>
      </c>
      <c r="W9">
        <f t="shared" ref="W9:W40" si="18">COUNTIFS($A$3:$A$118,$T9,$S$3:$S$118,$A$121)</f>
        <v>0</v>
      </c>
      <c r="X9">
        <f t="shared" ref="X9:X40" si="19">COUNTIFS($A$3:$A$118,$T9,$S$3:$S$118,$A$122)</f>
        <v>3</v>
      </c>
      <c r="Y9">
        <f t="shared" si="11"/>
        <v>3</v>
      </c>
      <c r="Z9" s="85">
        <f t="shared" si="12"/>
        <v>1</v>
      </c>
      <c r="AB9" s="59" t="str">
        <f t="shared" si="3"/>
        <v>Rojo</v>
      </c>
      <c r="AC9" s="75" t="s">
        <v>241</v>
      </c>
      <c r="AD9">
        <f t="shared" ref="AD9:AD40" si="20">COUNTIFS($A$3:$A$118,$AC9,$AB$3:$AB$118,$A$119)</f>
        <v>0</v>
      </c>
      <c r="AE9">
        <f t="shared" ref="AE9:AE40" si="21">COUNTIFS($A$3:$A$118,$AC9,$AB$3:$AB$118,$A$120)</f>
        <v>0</v>
      </c>
      <c r="AF9">
        <f t="shared" ref="AF9:AF40" si="22">COUNTIFS($A$3:$A$118,$AC9,$AB$3:$AB$118,$A$121)</f>
        <v>0</v>
      </c>
      <c r="AG9">
        <f t="shared" ref="AG9:AG40" si="23">COUNTIFS($A$3:$A$118,$AC9,$AB$3:$AB$118,$A$122)</f>
        <v>3</v>
      </c>
      <c r="AH9">
        <f t="shared" si="4"/>
        <v>3</v>
      </c>
      <c r="AI9" s="85">
        <f t="shared" si="5"/>
        <v>1</v>
      </c>
      <c r="AK9" s="59" t="str">
        <f t="shared" si="6"/>
        <v>Rojo</v>
      </c>
      <c r="AL9" s="75" t="s">
        <v>241</v>
      </c>
      <c r="AM9">
        <f t="shared" ref="AM9:AM40" si="24">COUNTIFS($A$3:$A$118,$AL9,$AK$3:$AK$118,$A$119)</f>
        <v>0</v>
      </c>
      <c r="AN9">
        <f t="shared" ref="AN9:AN40" si="25">COUNTIFS($A$3:$A$118,$AL9,$AK$3:$AK$118,$A$120)</f>
        <v>0</v>
      </c>
      <c r="AO9">
        <f t="shared" ref="AO9:AO40" si="26">COUNTIFS($A$3:$A$118,$AL9,$AK$3:$AK$118,$A$121)</f>
        <v>0</v>
      </c>
      <c r="AP9">
        <f t="shared" ref="AP9:AP40" si="27">COUNTIFS($A$3:$A$118,$AL9,$AK$3:$AK$118,$A$122)</f>
        <v>3</v>
      </c>
      <c r="AQ9">
        <f t="shared" si="7"/>
        <v>3</v>
      </c>
      <c r="AR9" s="85">
        <f t="shared" si="8"/>
        <v>1</v>
      </c>
    </row>
    <row r="10" spans="1:44" x14ac:dyDescent="0.25">
      <c r="A10" t="str">
        <f>Metas!$A$8</f>
        <v>SF-PY2</v>
      </c>
      <c r="B10" t="str">
        <f>Metas!B10</f>
        <v>SF-PY2.3</v>
      </c>
      <c r="C10" s="123" t="str">
        <f>Metas!R10</f>
        <v/>
      </c>
      <c r="D10" s="66">
        <f>Metas!W10</f>
        <v>0</v>
      </c>
      <c r="E10" s="66">
        <f>Metas!AC10</f>
        <v>0</v>
      </c>
      <c r="F10" s="66">
        <f>Metas!AI10</f>
        <v>0</v>
      </c>
      <c r="J10" s="59" t="str">
        <f t="shared" si="0"/>
        <v>Azul</v>
      </c>
      <c r="K10" s="75" t="s">
        <v>295</v>
      </c>
      <c r="L10">
        <f t="shared" si="9"/>
        <v>0</v>
      </c>
      <c r="M10">
        <f t="shared" si="13"/>
        <v>0</v>
      </c>
      <c r="N10">
        <f t="shared" si="14"/>
        <v>0</v>
      </c>
      <c r="O10">
        <f t="shared" si="15"/>
        <v>7</v>
      </c>
      <c r="P10">
        <f t="shared" ref="P10" si="28">SUM(L10:O10)</f>
        <v>7</v>
      </c>
      <c r="Q10" s="85">
        <f t="shared" si="1"/>
        <v>1.0000000000000002</v>
      </c>
      <c r="S10" s="59" t="str">
        <f t="shared" si="2"/>
        <v>Rojo</v>
      </c>
      <c r="T10" s="75" t="s">
        <v>295</v>
      </c>
      <c r="U10">
        <f t="shared" si="16"/>
        <v>0</v>
      </c>
      <c r="V10">
        <f t="shared" si="17"/>
        <v>0</v>
      </c>
      <c r="W10">
        <f t="shared" si="18"/>
        <v>0</v>
      </c>
      <c r="X10">
        <f t="shared" si="19"/>
        <v>7</v>
      </c>
      <c r="Y10">
        <f t="shared" ref="Y10:Y40" si="29">SUM(U10:X10)</f>
        <v>7</v>
      </c>
      <c r="Z10" s="85">
        <f t="shared" ref="Z10:Z40" si="30">IFERROR(((100/Y10)*(SUM(V10:X10)/100)),0)</f>
        <v>1.0000000000000002</v>
      </c>
      <c r="AB10" s="59" t="str">
        <f t="shared" si="3"/>
        <v>Rojo</v>
      </c>
      <c r="AC10" s="75" t="s">
        <v>295</v>
      </c>
      <c r="AD10">
        <f t="shared" si="20"/>
        <v>0</v>
      </c>
      <c r="AE10">
        <f t="shared" si="21"/>
        <v>1</v>
      </c>
      <c r="AF10">
        <f t="shared" si="22"/>
        <v>0</v>
      </c>
      <c r="AG10">
        <f t="shared" si="23"/>
        <v>6</v>
      </c>
      <c r="AH10">
        <f t="shared" ref="AH10:AH40" si="31">SUM(AD10:AG10)</f>
        <v>7</v>
      </c>
      <c r="AI10" s="85">
        <f t="shared" ref="AI10:AI40" si="32">IFERROR(((100/AH10)*(SUM(AE10:AG10)/100)),0)</f>
        <v>1.0000000000000002</v>
      </c>
      <c r="AK10" s="59" t="str">
        <f t="shared" si="6"/>
        <v>Rojo</v>
      </c>
      <c r="AL10" s="75" t="s">
        <v>295</v>
      </c>
      <c r="AM10">
        <f t="shared" si="24"/>
        <v>0</v>
      </c>
      <c r="AN10">
        <f t="shared" si="25"/>
        <v>2</v>
      </c>
      <c r="AO10">
        <f t="shared" si="26"/>
        <v>0</v>
      </c>
      <c r="AP10">
        <f t="shared" si="27"/>
        <v>5</v>
      </c>
      <c r="AQ10">
        <f t="shared" ref="AQ10:AQ40" si="33">SUM(AM10:AP10)</f>
        <v>7</v>
      </c>
      <c r="AR10" s="85">
        <f t="shared" si="8"/>
        <v>1.0000000000000002</v>
      </c>
    </row>
    <row r="11" spans="1:44" x14ac:dyDescent="0.25">
      <c r="A11" t="str">
        <f>Metas!$A$8</f>
        <v>SF-PY2</v>
      </c>
      <c r="B11" t="str">
        <f>Metas!B11</f>
        <v>SF-PY2.4</v>
      </c>
      <c r="C11" s="123" t="str">
        <f>Metas!R11</f>
        <v/>
      </c>
      <c r="D11" s="66">
        <f>Metas!W11</f>
        <v>0</v>
      </c>
      <c r="E11" s="66">
        <f>Metas!AC11</f>
        <v>0</v>
      </c>
      <c r="F11" s="66">
        <f>Metas!AI11</f>
        <v>0</v>
      </c>
      <c r="J11" s="59" t="str">
        <f t="shared" si="0"/>
        <v>Azul</v>
      </c>
      <c r="K11" s="75" t="s">
        <v>309</v>
      </c>
      <c r="L11">
        <f t="shared" si="9"/>
        <v>0</v>
      </c>
      <c r="M11">
        <f t="shared" si="13"/>
        <v>0</v>
      </c>
      <c r="N11">
        <f t="shared" si="14"/>
        <v>0</v>
      </c>
      <c r="O11">
        <f t="shared" si="15"/>
        <v>7</v>
      </c>
      <c r="P11">
        <f t="shared" ref="P11:P40" si="34">SUM(L11:O11)</f>
        <v>7</v>
      </c>
      <c r="Q11" s="85">
        <f>IFERROR(((100/P11)*(SUM(M11:O11)/100)),0)</f>
        <v>1.0000000000000002</v>
      </c>
      <c r="S11" s="59" t="str">
        <f t="shared" si="2"/>
        <v>Rojo</v>
      </c>
      <c r="T11" s="75" t="s">
        <v>309</v>
      </c>
      <c r="U11">
        <f t="shared" si="16"/>
        <v>0</v>
      </c>
      <c r="V11">
        <f t="shared" si="17"/>
        <v>0</v>
      </c>
      <c r="W11">
        <f t="shared" si="18"/>
        <v>0</v>
      </c>
      <c r="X11">
        <f t="shared" si="19"/>
        <v>7</v>
      </c>
      <c r="Y11">
        <f t="shared" si="29"/>
        <v>7</v>
      </c>
      <c r="Z11" s="85">
        <f t="shared" si="30"/>
        <v>1.0000000000000002</v>
      </c>
      <c r="AB11" s="59" t="str">
        <f t="shared" si="3"/>
        <v>Rojo</v>
      </c>
      <c r="AC11" s="75" t="s">
        <v>309</v>
      </c>
      <c r="AD11">
        <f t="shared" si="20"/>
        <v>1</v>
      </c>
      <c r="AE11">
        <f t="shared" si="21"/>
        <v>0</v>
      </c>
      <c r="AF11">
        <f t="shared" si="22"/>
        <v>0</v>
      </c>
      <c r="AG11">
        <f t="shared" si="23"/>
        <v>6</v>
      </c>
      <c r="AH11">
        <f t="shared" si="31"/>
        <v>7</v>
      </c>
      <c r="AI11" s="85">
        <f t="shared" si="32"/>
        <v>0.85714285714285721</v>
      </c>
      <c r="AK11" s="59" t="str">
        <f t="shared" si="6"/>
        <v>Rojo</v>
      </c>
      <c r="AL11" s="75" t="s">
        <v>309</v>
      </c>
      <c r="AM11">
        <f t="shared" si="24"/>
        <v>1</v>
      </c>
      <c r="AN11">
        <f t="shared" si="25"/>
        <v>0</v>
      </c>
      <c r="AO11">
        <f t="shared" si="26"/>
        <v>0</v>
      </c>
      <c r="AP11">
        <f t="shared" si="27"/>
        <v>6</v>
      </c>
      <c r="AQ11">
        <f t="shared" si="33"/>
        <v>7</v>
      </c>
      <c r="AR11" s="85">
        <f t="shared" si="8"/>
        <v>0.85714285714285721</v>
      </c>
    </row>
    <row r="12" spans="1:44" x14ac:dyDescent="0.25">
      <c r="A12" t="str">
        <f>Metas!$A$8</f>
        <v>SF-PY2</v>
      </c>
      <c r="B12" t="str">
        <f>Metas!B12</f>
        <v>SF-PY2.5</v>
      </c>
      <c r="C12" s="123" t="str">
        <f>Metas!R12</f>
        <v/>
      </c>
      <c r="D12" s="66">
        <f>Metas!W12</f>
        <v>0</v>
      </c>
      <c r="E12" s="66">
        <f>Metas!AC12</f>
        <v>0</v>
      </c>
      <c r="F12" s="66">
        <f>Metas!AI12</f>
        <v>0</v>
      </c>
      <c r="J12" s="59" t="str">
        <f t="shared" si="0"/>
        <v>Azul</v>
      </c>
      <c r="K12" s="75" t="s">
        <v>324</v>
      </c>
      <c r="L12">
        <f t="shared" si="9"/>
        <v>0</v>
      </c>
      <c r="M12">
        <f t="shared" si="13"/>
        <v>0</v>
      </c>
      <c r="N12">
        <f t="shared" si="14"/>
        <v>0</v>
      </c>
      <c r="O12">
        <f t="shared" si="15"/>
        <v>4</v>
      </c>
      <c r="P12">
        <f t="shared" si="34"/>
        <v>4</v>
      </c>
      <c r="Q12" s="85">
        <f t="shared" ref="Q12:Q19" si="35">IFERROR(((100/P12)*(SUM(M12:O12)/100)),0)</f>
        <v>1</v>
      </c>
      <c r="S12" s="59" t="str">
        <f t="shared" si="2"/>
        <v>Rojo</v>
      </c>
      <c r="T12" s="75" t="s">
        <v>324</v>
      </c>
      <c r="U12">
        <f t="shared" si="16"/>
        <v>0</v>
      </c>
      <c r="V12">
        <f t="shared" si="17"/>
        <v>0</v>
      </c>
      <c r="W12">
        <f t="shared" si="18"/>
        <v>0</v>
      </c>
      <c r="X12">
        <f t="shared" si="19"/>
        <v>4</v>
      </c>
      <c r="Y12">
        <f t="shared" si="29"/>
        <v>4</v>
      </c>
      <c r="Z12" s="85">
        <f t="shared" si="30"/>
        <v>1</v>
      </c>
      <c r="AB12" s="59" t="str">
        <f t="shared" si="3"/>
        <v>Rojo</v>
      </c>
      <c r="AC12" s="75" t="s">
        <v>324</v>
      </c>
      <c r="AD12">
        <f t="shared" si="20"/>
        <v>0</v>
      </c>
      <c r="AE12">
        <f t="shared" si="21"/>
        <v>0</v>
      </c>
      <c r="AF12">
        <f t="shared" si="22"/>
        <v>0</v>
      </c>
      <c r="AG12">
        <f t="shared" si="23"/>
        <v>4</v>
      </c>
      <c r="AH12">
        <f t="shared" si="31"/>
        <v>4</v>
      </c>
      <c r="AI12" s="85">
        <f t="shared" si="32"/>
        <v>1</v>
      </c>
      <c r="AK12" s="59" t="str">
        <f t="shared" si="6"/>
        <v>Rojo</v>
      </c>
      <c r="AL12" s="75" t="s">
        <v>324</v>
      </c>
      <c r="AM12">
        <f t="shared" si="24"/>
        <v>0</v>
      </c>
      <c r="AN12">
        <f t="shared" si="25"/>
        <v>0</v>
      </c>
      <c r="AO12">
        <f t="shared" si="26"/>
        <v>0</v>
      </c>
      <c r="AP12">
        <f t="shared" si="27"/>
        <v>4</v>
      </c>
      <c r="AQ12">
        <f t="shared" si="33"/>
        <v>4</v>
      </c>
      <c r="AR12" s="85">
        <f t="shared" si="8"/>
        <v>1</v>
      </c>
    </row>
    <row r="13" spans="1:44" x14ac:dyDescent="0.25">
      <c r="A13" t="str">
        <f>Metas!$A$13</f>
        <v>SF-PY3</v>
      </c>
      <c r="B13" t="str">
        <f>Metas!B13</f>
        <v>SF-PY3.1</v>
      </c>
      <c r="C13" s="123">
        <f>Metas!R13</f>
        <v>1</v>
      </c>
      <c r="D13" s="66">
        <f>Metas!W13</f>
        <v>20</v>
      </c>
      <c r="E13" s="66">
        <f>Metas!AC13</f>
        <v>30</v>
      </c>
      <c r="F13" s="66">
        <f>Metas!AI13</f>
        <v>30</v>
      </c>
      <c r="J13" s="59" t="str">
        <f t="shared" si="0"/>
        <v>Azul</v>
      </c>
      <c r="K13" s="75" t="s">
        <v>333</v>
      </c>
      <c r="L13">
        <f t="shared" si="9"/>
        <v>0</v>
      </c>
      <c r="M13">
        <f t="shared" si="13"/>
        <v>0</v>
      </c>
      <c r="N13">
        <f t="shared" si="14"/>
        <v>0</v>
      </c>
      <c r="O13">
        <f t="shared" si="15"/>
        <v>1</v>
      </c>
      <c r="P13">
        <f t="shared" si="34"/>
        <v>1</v>
      </c>
      <c r="Q13" s="85">
        <f t="shared" si="35"/>
        <v>1</v>
      </c>
      <c r="S13" s="59" t="str">
        <f t="shared" si="2"/>
        <v>Azul</v>
      </c>
      <c r="T13" s="75" t="s">
        <v>333</v>
      </c>
      <c r="U13">
        <f t="shared" si="16"/>
        <v>0</v>
      </c>
      <c r="V13">
        <f t="shared" si="17"/>
        <v>0</v>
      </c>
      <c r="W13">
        <f t="shared" si="18"/>
        <v>0</v>
      </c>
      <c r="X13">
        <f t="shared" si="19"/>
        <v>1</v>
      </c>
      <c r="Y13">
        <f t="shared" si="29"/>
        <v>1</v>
      </c>
      <c r="Z13" s="85">
        <f t="shared" si="30"/>
        <v>1</v>
      </c>
      <c r="AB13" s="59" t="str">
        <f t="shared" si="3"/>
        <v>Azul</v>
      </c>
      <c r="AC13" s="75" t="s">
        <v>333</v>
      </c>
      <c r="AD13">
        <f t="shared" si="20"/>
        <v>0</v>
      </c>
      <c r="AE13">
        <f t="shared" si="21"/>
        <v>0</v>
      </c>
      <c r="AF13">
        <f t="shared" si="22"/>
        <v>0</v>
      </c>
      <c r="AG13">
        <f t="shared" si="23"/>
        <v>1</v>
      </c>
      <c r="AH13">
        <f t="shared" si="31"/>
        <v>1</v>
      </c>
      <c r="AI13" s="85">
        <f t="shared" si="32"/>
        <v>1</v>
      </c>
      <c r="AK13" s="59" t="str">
        <f t="shared" si="6"/>
        <v>Azul</v>
      </c>
      <c r="AL13" s="75" t="s">
        <v>333</v>
      </c>
      <c r="AM13">
        <f t="shared" si="24"/>
        <v>0</v>
      </c>
      <c r="AN13">
        <f t="shared" si="25"/>
        <v>0</v>
      </c>
      <c r="AO13">
        <f t="shared" si="26"/>
        <v>0</v>
      </c>
      <c r="AP13">
        <f t="shared" si="27"/>
        <v>1</v>
      </c>
      <c r="AQ13">
        <f t="shared" si="33"/>
        <v>1</v>
      </c>
      <c r="AR13" s="85">
        <f t="shared" si="8"/>
        <v>1</v>
      </c>
    </row>
    <row r="14" spans="1:44" x14ac:dyDescent="0.25">
      <c r="A14" t="str">
        <f>Metas!$A$13</f>
        <v>SF-PY3</v>
      </c>
      <c r="B14" t="str">
        <f>Metas!B14</f>
        <v>SF-PY3.2</v>
      </c>
      <c r="C14" s="123">
        <f>Metas!R14</f>
        <v>1</v>
      </c>
      <c r="D14" s="66">
        <f>Metas!W14</f>
        <v>3.5</v>
      </c>
      <c r="E14" s="66">
        <f>Metas!AC14</f>
        <v>5.25</v>
      </c>
      <c r="F14" s="66">
        <f>Metas!AI14</f>
        <v>5.25</v>
      </c>
      <c r="J14" s="59" t="str">
        <f t="shared" si="0"/>
        <v>Azul</v>
      </c>
      <c r="K14" s="75" t="s">
        <v>336</v>
      </c>
      <c r="L14">
        <f t="shared" si="9"/>
        <v>1</v>
      </c>
      <c r="M14">
        <f t="shared" si="13"/>
        <v>0</v>
      </c>
      <c r="N14">
        <f t="shared" si="14"/>
        <v>0</v>
      </c>
      <c r="O14">
        <f t="shared" si="15"/>
        <v>1</v>
      </c>
      <c r="P14">
        <f t="shared" si="34"/>
        <v>2</v>
      </c>
      <c r="Q14" s="85">
        <f t="shared" si="35"/>
        <v>0.5</v>
      </c>
      <c r="S14" s="59" t="str">
        <f t="shared" si="2"/>
        <v>Azul</v>
      </c>
      <c r="T14" s="75" t="s">
        <v>336</v>
      </c>
      <c r="U14">
        <f t="shared" si="16"/>
        <v>0</v>
      </c>
      <c r="V14">
        <f t="shared" si="17"/>
        <v>0</v>
      </c>
      <c r="W14">
        <f t="shared" si="18"/>
        <v>0</v>
      </c>
      <c r="X14">
        <f t="shared" si="19"/>
        <v>2</v>
      </c>
      <c r="Y14">
        <f t="shared" si="29"/>
        <v>2</v>
      </c>
      <c r="Z14" s="85">
        <f t="shared" si="30"/>
        <v>1</v>
      </c>
      <c r="AB14" s="59" t="str">
        <f t="shared" si="3"/>
        <v>Azul</v>
      </c>
      <c r="AC14" s="75" t="s">
        <v>336</v>
      </c>
      <c r="AD14">
        <f t="shared" si="20"/>
        <v>0</v>
      </c>
      <c r="AE14">
        <f t="shared" si="21"/>
        <v>0</v>
      </c>
      <c r="AF14">
        <f t="shared" si="22"/>
        <v>0</v>
      </c>
      <c r="AG14">
        <f t="shared" si="23"/>
        <v>2</v>
      </c>
      <c r="AH14">
        <f t="shared" si="31"/>
        <v>2</v>
      </c>
      <c r="AI14" s="85">
        <f t="shared" si="32"/>
        <v>1</v>
      </c>
      <c r="AK14" s="59" t="str">
        <f t="shared" si="6"/>
        <v>Azul</v>
      </c>
      <c r="AL14" s="75" t="s">
        <v>336</v>
      </c>
      <c r="AM14">
        <f t="shared" si="24"/>
        <v>0</v>
      </c>
      <c r="AN14">
        <f t="shared" si="25"/>
        <v>0</v>
      </c>
      <c r="AO14">
        <f t="shared" si="26"/>
        <v>0</v>
      </c>
      <c r="AP14">
        <f t="shared" si="27"/>
        <v>2</v>
      </c>
      <c r="AQ14">
        <f t="shared" si="33"/>
        <v>2</v>
      </c>
      <c r="AR14" s="85">
        <f t="shared" si="8"/>
        <v>1</v>
      </c>
    </row>
    <row r="15" spans="1:44" x14ac:dyDescent="0.25">
      <c r="A15" t="str">
        <f>Metas!$A$13</f>
        <v>SF-PY3</v>
      </c>
      <c r="B15" t="str">
        <f>Metas!B15</f>
        <v>SF-PY3.3</v>
      </c>
      <c r="C15" s="123">
        <f>Metas!R15</f>
        <v>1</v>
      </c>
      <c r="D15" s="66">
        <f>Metas!W15</f>
        <v>9.5</v>
      </c>
      <c r="E15" s="66">
        <f>Metas!AC15</f>
        <v>14.25</v>
      </c>
      <c r="F15" s="66">
        <f>Metas!AI15</f>
        <v>14.25</v>
      </c>
      <c r="J15" s="59" t="str">
        <f t="shared" si="0"/>
        <v>Azul</v>
      </c>
      <c r="K15" s="75" t="s">
        <v>341</v>
      </c>
      <c r="L15">
        <f t="shared" si="9"/>
        <v>0</v>
      </c>
      <c r="M15">
        <f t="shared" si="13"/>
        <v>0</v>
      </c>
      <c r="N15">
        <f t="shared" si="14"/>
        <v>0</v>
      </c>
      <c r="O15">
        <f t="shared" si="15"/>
        <v>2</v>
      </c>
      <c r="P15">
        <f t="shared" si="34"/>
        <v>2</v>
      </c>
      <c r="Q15" s="85">
        <f t="shared" si="35"/>
        <v>1</v>
      </c>
      <c r="S15" s="59" t="str">
        <f t="shared" si="2"/>
        <v>Azul</v>
      </c>
      <c r="T15" s="75" t="s">
        <v>341</v>
      </c>
      <c r="U15">
        <f t="shared" si="16"/>
        <v>0</v>
      </c>
      <c r="V15">
        <f t="shared" si="17"/>
        <v>0</v>
      </c>
      <c r="W15">
        <f t="shared" si="18"/>
        <v>0</v>
      </c>
      <c r="X15">
        <f t="shared" si="19"/>
        <v>2</v>
      </c>
      <c r="Y15">
        <f t="shared" si="29"/>
        <v>2</v>
      </c>
      <c r="Z15" s="85">
        <f t="shared" si="30"/>
        <v>1</v>
      </c>
      <c r="AB15" s="59" t="str">
        <f t="shared" si="3"/>
        <v>Azul</v>
      </c>
      <c r="AC15" s="75" t="s">
        <v>341</v>
      </c>
      <c r="AD15">
        <f t="shared" si="20"/>
        <v>0</v>
      </c>
      <c r="AE15">
        <f t="shared" si="21"/>
        <v>1</v>
      </c>
      <c r="AF15">
        <f t="shared" si="22"/>
        <v>0</v>
      </c>
      <c r="AG15">
        <f t="shared" si="23"/>
        <v>1</v>
      </c>
      <c r="AH15">
        <f t="shared" si="31"/>
        <v>2</v>
      </c>
      <c r="AI15" s="85">
        <f t="shared" si="32"/>
        <v>1</v>
      </c>
      <c r="AK15" s="59" t="str">
        <f t="shared" si="6"/>
        <v>Azul</v>
      </c>
      <c r="AL15" s="75" t="s">
        <v>341</v>
      </c>
      <c r="AM15">
        <f t="shared" si="24"/>
        <v>0</v>
      </c>
      <c r="AN15">
        <f t="shared" si="25"/>
        <v>1</v>
      </c>
      <c r="AO15">
        <f t="shared" si="26"/>
        <v>0</v>
      </c>
      <c r="AP15">
        <f t="shared" si="27"/>
        <v>1</v>
      </c>
      <c r="AQ15">
        <f t="shared" si="33"/>
        <v>2</v>
      </c>
      <c r="AR15" s="85">
        <f t="shared" si="8"/>
        <v>1</v>
      </c>
    </row>
    <row r="16" spans="1:44" x14ac:dyDescent="0.25">
      <c r="A16" t="str">
        <f>Metas!$A$13</f>
        <v>SF-PY3</v>
      </c>
      <c r="B16" t="str">
        <f>Metas!B16</f>
        <v>SF-PY3.4</v>
      </c>
      <c r="C16" s="123">
        <f>Metas!R16</f>
        <v>1</v>
      </c>
      <c r="D16" s="66">
        <f>Metas!W16</f>
        <v>3.5</v>
      </c>
      <c r="E16" s="66">
        <f>Metas!AC16</f>
        <v>5.25</v>
      </c>
      <c r="F16" s="66">
        <f>Metas!AI16</f>
        <v>5.25</v>
      </c>
      <c r="J16" s="59" t="str">
        <f t="shared" si="0"/>
        <v>Azul</v>
      </c>
      <c r="K16" s="75" t="s">
        <v>346</v>
      </c>
      <c r="L16">
        <f t="shared" si="9"/>
        <v>0</v>
      </c>
      <c r="M16">
        <f t="shared" si="13"/>
        <v>0</v>
      </c>
      <c r="N16">
        <f t="shared" si="14"/>
        <v>0</v>
      </c>
      <c r="O16">
        <f t="shared" si="15"/>
        <v>1</v>
      </c>
      <c r="P16">
        <f t="shared" si="34"/>
        <v>1</v>
      </c>
      <c r="Q16" s="85">
        <f t="shared" si="35"/>
        <v>1</v>
      </c>
      <c r="S16" s="59" t="str">
        <f t="shared" si="2"/>
        <v>Azul</v>
      </c>
      <c r="T16" s="75" t="s">
        <v>346</v>
      </c>
      <c r="U16">
        <f t="shared" si="16"/>
        <v>0</v>
      </c>
      <c r="V16">
        <f t="shared" si="17"/>
        <v>0</v>
      </c>
      <c r="W16">
        <f t="shared" si="18"/>
        <v>0</v>
      </c>
      <c r="X16">
        <f t="shared" si="19"/>
        <v>1</v>
      </c>
      <c r="Y16">
        <f t="shared" si="29"/>
        <v>1</v>
      </c>
      <c r="Z16" s="85">
        <f t="shared" si="30"/>
        <v>1</v>
      </c>
      <c r="AB16" s="59" t="str">
        <f t="shared" si="3"/>
        <v>Azul</v>
      </c>
      <c r="AC16" s="75" t="s">
        <v>346</v>
      </c>
      <c r="AD16">
        <f t="shared" si="20"/>
        <v>0</v>
      </c>
      <c r="AE16">
        <f t="shared" si="21"/>
        <v>0</v>
      </c>
      <c r="AF16">
        <f t="shared" si="22"/>
        <v>1</v>
      </c>
      <c r="AG16">
        <f t="shared" si="23"/>
        <v>0</v>
      </c>
      <c r="AH16">
        <f t="shared" si="31"/>
        <v>1</v>
      </c>
      <c r="AI16" s="85">
        <f t="shared" si="32"/>
        <v>1</v>
      </c>
      <c r="AK16" s="59" t="str">
        <f t="shared" si="6"/>
        <v>Azul</v>
      </c>
      <c r="AL16" s="75" t="s">
        <v>346</v>
      </c>
      <c r="AM16">
        <f t="shared" si="24"/>
        <v>0</v>
      </c>
      <c r="AN16">
        <f t="shared" si="25"/>
        <v>1</v>
      </c>
      <c r="AO16">
        <f t="shared" si="26"/>
        <v>0</v>
      </c>
      <c r="AP16">
        <f t="shared" si="27"/>
        <v>0</v>
      </c>
      <c r="AQ16">
        <f t="shared" si="33"/>
        <v>1</v>
      </c>
      <c r="AR16" s="85">
        <f t="shared" si="8"/>
        <v>1</v>
      </c>
    </row>
    <row r="17" spans="1:44" x14ac:dyDescent="0.25">
      <c r="A17" t="str">
        <f>Metas!$A$13</f>
        <v>SF-PY3</v>
      </c>
      <c r="B17" t="str">
        <f>Metas!B17</f>
        <v>SF-PY3.5</v>
      </c>
      <c r="C17" s="123">
        <f>Metas!R17</f>
        <v>1</v>
      </c>
      <c r="D17" s="66">
        <f>Metas!W17</f>
        <v>0.5</v>
      </c>
      <c r="E17" s="66">
        <f>Metas!AC17</f>
        <v>0.75</v>
      </c>
      <c r="F17" s="66">
        <f>Metas!AI17</f>
        <v>0.75</v>
      </c>
      <c r="J17" s="59" t="str">
        <f t="shared" si="0"/>
        <v>Azul</v>
      </c>
      <c r="K17" s="75" t="s">
        <v>349</v>
      </c>
      <c r="L17">
        <f t="shared" si="9"/>
        <v>1</v>
      </c>
      <c r="M17">
        <f t="shared" si="13"/>
        <v>0</v>
      </c>
      <c r="N17">
        <f t="shared" si="14"/>
        <v>0</v>
      </c>
      <c r="O17">
        <f t="shared" si="15"/>
        <v>2</v>
      </c>
      <c r="P17">
        <f t="shared" si="34"/>
        <v>3</v>
      </c>
      <c r="Q17" s="85">
        <f t="shared" si="35"/>
        <v>0.66666666666666674</v>
      </c>
      <c r="S17" s="59" t="str">
        <f t="shared" si="2"/>
        <v>Azul</v>
      </c>
      <c r="T17" s="75" t="s">
        <v>349</v>
      </c>
      <c r="U17">
        <f t="shared" si="16"/>
        <v>0</v>
      </c>
      <c r="V17">
        <f t="shared" si="17"/>
        <v>0</v>
      </c>
      <c r="W17">
        <f t="shared" si="18"/>
        <v>0</v>
      </c>
      <c r="X17">
        <f t="shared" si="19"/>
        <v>3</v>
      </c>
      <c r="Y17">
        <f t="shared" si="29"/>
        <v>3</v>
      </c>
      <c r="Z17" s="85">
        <f t="shared" si="30"/>
        <v>1</v>
      </c>
      <c r="AB17" s="59" t="str">
        <f t="shared" si="3"/>
        <v>Azul</v>
      </c>
      <c r="AC17" s="75" t="s">
        <v>349</v>
      </c>
      <c r="AD17">
        <f t="shared" si="20"/>
        <v>0</v>
      </c>
      <c r="AE17">
        <f t="shared" si="21"/>
        <v>0</v>
      </c>
      <c r="AF17">
        <f t="shared" si="22"/>
        <v>0</v>
      </c>
      <c r="AG17">
        <f t="shared" si="23"/>
        <v>3</v>
      </c>
      <c r="AH17">
        <f t="shared" si="31"/>
        <v>3</v>
      </c>
      <c r="AI17" s="85">
        <f t="shared" si="32"/>
        <v>1</v>
      </c>
      <c r="AK17" s="59" t="str">
        <f t="shared" si="6"/>
        <v>Amarillo</v>
      </c>
      <c r="AL17" s="75" t="s">
        <v>349</v>
      </c>
      <c r="AM17">
        <f t="shared" si="24"/>
        <v>0</v>
      </c>
      <c r="AN17">
        <f t="shared" si="25"/>
        <v>0</v>
      </c>
      <c r="AO17">
        <f t="shared" si="26"/>
        <v>1</v>
      </c>
      <c r="AP17">
        <f t="shared" si="27"/>
        <v>2</v>
      </c>
      <c r="AQ17">
        <f t="shared" si="33"/>
        <v>3</v>
      </c>
      <c r="AR17" s="85">
        <f t="shared" si="8"/>
        <v>1</v>
      </c>
    </row>
    <row r="18" spans="1:44" x14ac:dyDescent="0.25">
      <c r="A18" t="str">
        <f>Metas!$A$18</f>
        <v>SF-PY4</v>
      </c>
      <c r="B18" t="str">
        <f>Metas!B18</f>
        <v>SF-PY4.1</v>
      </c>
      <c r="C18" s="123">
        <f>Metas!R18</f>
        <v>1</v>
      </c>
      <c r="D18" s="66">
        <f>Metas!W18</f>
        <v>11</v>
      </c>
      <c r="E18" s="66">
        <f>Metas!AC18</f>
        <v>16.5</v>
      </c>
      <c r="F18" s="66">
        <f>Metas!AI18</f>
        <v>16.5</v>
      </c>
      <c r="J18" s="59" t="str">
        <f t="shared" si="0"/>
        <v>Azul</v>
      </c>
      <c r="K18" s="75" t="s">
        <v>356</v>
      </c>
      <c r="L18">
        <f t="shared" si="9"/>
        <v>0</v>
      </c>
      <c r="M18">
        <f t="shared" si="13"/>
        <v>0</v>
      </c>
      <c r="N18">
        <f t="shared" si="14"/>
        <v>0</v>
      </c>
      <c r="O18">
        <f t="shared" si="15"/>
        <v>3</v>
      </c>
      <c r="P18">
        <f t="shared" si="34"/>
        <v>3</v>
      </c>
      <c r="Q18" s="85">
        <f t="shared" si="35"/>
        <v>1</v>
      </c>
      <c r="S18" s="59" t="str">
        <f t="shared" si="2"/>
        <v>Azul</v>
      </c>
      <c r="T18" s="75" t="s">
        <v>356</v>
      </c>
      <c r="U18">
        <f t="shared" si="16"/>
        <v>0</v>
      </c>
      <c r="V18">
        <f t="shared" si="17"/>
        <v>0</v>
      </c>
      <c r="W18">
        <f t="shared" si="18"/>
        <v>0</v>
      </c>
      <c r="X18">
        <f t="shared" si="19"/>
        <v>3</v>
      </c>
      <c r="Y18">
        <f t="shared" si="29"/>
        <v>3</v>
      </c>
      <c r="Z18" s="85">
        <f t="shared" si="30"/>
        <v>1</v>
      </c>
      <c r="AB18" s="59" t="str">
        <f t="shared" si="3"/>
        <v>Azul</v>
      </c>
      <c r="AC18" s="75" t="s">
        <v>356</v>
      </c>
      <c r="AD18">
        <f t="shared" si="20"/>
        <v>0</v>
      </c>
      <c r="AE18">
        <f t="shared" si="21"/>
        <v>0</v>
      </c>
      <c r="AF18">
        <f t="shared" si="22"/>
        <v>0</v>
      </c>
      <c r="AG18">
        <f t="shared" si="23"/>
        <v>3</v>
      </c>
      <c r="AH18">
        <f t="shared" si="31"/>
        <v>3</v>
      </c>
      <c r="AI18" s="85">
        <f t="shared" si="32"/>
        <v>1</v>
      </c>
      <c r="AK18" s="59" t="str">
        <f t="shared" si="6"/>
        <v>Azul</v>
      </c>
      <c r="AL18" s="75" t="s">
        <v>356</v>
      </c>
      <c r="AM18">
        <f t="shared" si="24"/>
        <v>0</v>
      </c>
      <c r="AN18">
        <f t="shared" si="25"/>
        <v>0</v>
      </c>
      <c r="AO18">
        <f t="shared" si="26"/>
        <v>0</v>
      </c>
      <c r="AP18">
        <f t="shared" si="27"/>
        <v>3</v>
      </c>
      <c r="AQ18">
        <f t="shared" si="33"/>
        <v>3</v>
      </c>
      <c r="AR18" s="85">
        <f t="shared" si="8"/>
        <v>1</v>
      </c>
    </row>
    <row r="19" spans="1:44" x14ac:dyDescent="0.25">
      <c r="A19" t="str">
        <f>Metas!$A$18</f>
        <v>SF-PY4</v>
      </c>
      <c r="B19" t="str">
        <f>Metas!B19</f>
        <v>SF-PY4.2</v>
      </c>
      <c r="C19" s="123">
        <f>Metas!R19</f>
        <v>1</v>
      </c>
      <c r="D19" s="66">
        <f>Metas!W19</f>
        <v>500</v>
      </c>
      <c r="E19" s="66">
        <f>Metas!AC19</f>
        <v>750</v>
      </c>
      <c r="F19" s="66">
        <f>Metas!AI19</f>
        <v>750</v>
      </c>
      <c r="J19" s="59" t="str">
        <f t="shared" si="0"/>
        <v>Azul</v>
      </c>
      <c r="K19" s="75" t="s">
        <v>374</v>
      </c>
      <c r="L19">
        <f t="shared" si="9"/>
        <v>0</v>
      </c>
      <c r="M19">
        <f t="shared" si="13"/>
        <v>0</v>
      </c>
      <c r="N19">
        <f t="shared" si="14"/>
        <v>0</v>
      </c>
      <c r="O19">
        <f t="shared" si="15"/>
        <v>3</v>
      </c>
      <c r="P19">
        <f t="shared" si="34"/>
        <v>3</v>
      </c>
      <c r="Q19" s="85">
        <f t="shared" si="35"/>
        <v>1</v>
      </c>
      <c r="S19" s="59" t="str">
        <f t="shared" si="2"/>
        <v>Azul</v>
      </c>
      <c r="T19" s="75" t="s">
        <v>374</v>
      </c>
      <c r="U19">
        <f t="shared" si="16"/>
        <v>0</v>
      </c>
      <c r="V19">
        <f t="shared" si="17"/>
        <v>0</v>
      </c>
      <c r="W19">
        <f t="shared" si="18"/>
        <v>0</v>
      </c>
      <c r="X19">
        <f t="shared" si="19"/>
        <v>3</v>
      </c>
      <c r="Y19">
        <f t="shared" si="29"/>
        <v>3</v>
      </c>
      <c r="Z19" s="85">
        <f t="shared" si="30"/>
        <v>1</v>
      </c>
      <c r="AB19" s="59" t="str">
        <f t="shared" si="3"/>
        <v>Azul</v>
      </c>
      <c r="AC19" s="75" t="s">
        <v>374</v>
      </c>
      <c r="AD19">
        <f t="shared" si="20"/>
        <v>0</v>
      </c>
      <c r="AE19">
        <f t="shared" si="21"/>
        <v>0</v>
      </c>
      <c r="AF19">
        <f t="shared" si="22"/>
        <v>0</v>
      </c>
      <c r="AG19">
        <f t="shared" si="23"/>
        <v>3</v>
      </c>
      <c r="AH19">
        <f t="shared" si="31"/>
        <v>3</v>
      </c>
      <c r="AI19" s="85">
        <f t="shared" si="32"/>
        <v>1</v>
      </c>
      <c r="AK19" s="59" t="str">
        <f t="shared" si="6"/>
        <v>Azul</v>
      </c>
      <c r="AL19" s="75" t="s">
        <v>374</v>
      </c>
      <c r="AM19">
        <f t="shared" si="24"/>
        <v>0</v>
      </c>
      <c r="AN19">
        <f t="shared" si="25"/>
        <v>0</v>
      </c>
      <c r="AO19">
        <f t="shared" si="26"/>
        <v>0</v>
      </c>
      <c r="AP19">
        <f t="shared" si="27"/>
        <v>3</v>
      </c>
      <c r="AQ19">
        <f t="shared" si="33"/>
        <v>3</v>
      </c>
      <c r="AR19" s="85">
        <f t="shared" si="8"/>
        <v>1</v>
      </c>
    </row>
    <row r="20" spans="1:44" x14ac:dyDescent="0.25">
      <c r="A20" t="str">
        <f>Metas!$A$18</f>
        <v>SF-PY4</v>
      </c>
      <c r="B20" t="str">
        <f>Metas!B20</f>
        <v>SF-PY4.3</v>
      </c>
      <c r="C20" s="123">
        <f>Metas!R20</f>
        <v>1</v>
      </c>
      <c r="D20" s="66">
        <f>Metas!W20</f>
        <v>500</v>
      </c>
      <c r="E20" s="66">
        <f>Metas!AC20</f>
        <v>750</v>
      </c>
      <c r="F20" s="66">
        <f>Metas!AI20</f>
        <v>750</v>
      </c>
      <c r="J20" s="59" t="str">
        <f t="shared" si="0"/>
        <v>Azul</v>
      </c>
      <c r="K20" s="75" t="s">
        <v>381</v>
      </c>
      <c r="L20">
        <f t="shared" si="9"/>
        <v>0</v>
      </c>
      <c r="M20">
        <f t="shared" si="13"/>
        <v>0</v>
      </c>
      <c r="N20">
        <f t="shared" si="14"/>
        <v>0</v>
      </c>
      <c r="O20">
        <f t="shared" si="15"/>
        <v>1</v>
      </c>
      <c r="P20">
        <f t="shared" si="34"/>
        <v>1</v>
      </c>
      <c r="Q20" s="85">
        <f t="shared" si="1"/>
        <v>1</v>
      </c>
      <c r="S20" s="59" t="str">
        <f t="shared" si="2"/>
        <v>Azul</v>
      </c>
      <c r="T20" s="75" t="s">
        <v>381</v>
      </c>
      <c r="U20">
        <f t="shared" si="16"/>
        <v>0</v>
      </c>
      <c r="V20">
        <f t="shared" si="17"/>
        <v>0</v>
      </c>
      <c r="W20">
        <f t="shared" si="18"/>
        <v>0</v>
      </c>
      <c r="X20">
        <f t="shared" si="19"/>
        <v>1</v>
      </c>
      <c r="Y20">
        <f t="shared" si="29"/>
        <v>1</v>
      </c>
      <c r="Z20" s="85">
        <f t="shared" si="30"/>
        <v>1</v>
      </c>
      <c r="AB20" s="59" t="str">
        <f t="shared" si="3"/>
        <v>Azul</v>
      </c>
      <c r="AC20" s="75" t="s">
        <v>381</v>
      </c>
      <c r="AD20">
        <f t="shared" si="20"/>
        <v>0</v>
      </c>
      <c r="AE20">
        <f t="shared" si="21"/>
        <v>0</v>
      </c>
      <c r="AF20">
        <f t="shared" si="22"/>
        <v>0</v>
      </c>
      <c r="AG20">
        <f t="shared" si="23"/>
        <v>1</v>
      </c>
      <c r="AH20">
        <f t="shared" si="31"/>
        <v>1</v>
      </c>
      <c r="AI20" s="85">
        <f t="shared" si="32"/>
        <v>1</v>
      </c>
      <c r="AK20" s="59" t="str">
        <f t="shared" si="6"/>
        <v>Azul</v>
      </c>
      <c r="AL20" s="75" t="s">
        <v>381</v>
      </c>
      <c r="AM20">
        <f t="shared" si="24"/>
        <v>0</v>
      </c>
      <c r="AN20">
        <f t="shared" si="25"/>
        <v>0</v>
      </c>
      <c r="AO20">
        <f t="shared" si="26"/>
        <v>0</v>
      </c>
      <c r="AP20">
        <f t="shared" si="27"/>
        <v>1</v>
      </c>
      <c r="AQ20">
        <f t="shared" si="33"/>
        <v>1</v>
      </c>
      <c r="AR20" s="85">
        <f t="shared" si="8"/>
        <v>1</v>
      </c>
    </row>
    <row r="21" spans="1:44" x14ac:dyDescent="0.25">
      <c r="A21" t="str">
        <f>Metas!$A$18</f>
        <v>SF-PY4</v>
      </c>
      <c r="B21" t="str">
        <f>Metas!B21</f>
        <v>SF-PY4.4</v>
      </c>
      <c r="C21" s="123">
        <f>Metas!R21</f>
        <v>1</v>
      </c>
      <c r="D21" s="66">
        <f>Metas!W21</f>
        <v>500</v>
      </c>
      <c r="E21" s="66">
        <f>Metas!AC21</f>
        <v>750</v>
      </c>
      <c r="F21" s="66">
        <f>Metas!AI21</f>
        <v>750</v>
      </c>
      <c r="J21" s="59" t="str">
        <f t="shared" si="0"/>
        <v>Azul</v>
      </c>
      <c r="K21" s="75" t="s">
        <v>384</v>
      </c>
      <c r="L21">
        <f t="shared" si="9"/>
        <v>1</v>
      </c>
      <c r="M21">
        <f t="shared" si="13"/>
        <v>0</v>
      </c>
      <c r="N21">
        <f t="shared" si="14"/>
        <v>0</v>
      </c>
      <c r="O21">
        <f t="shared" si="15"/>
        <v>6</v>
      </c>
      <c r="P21">
        <f t="shared" si="34"/>
        <v>7</v>
      </c>
      <c r="Q21" s="85">
        <f t="shared" si="1"/>
        <v>0.85714285714285721</v>
      </c>
      <c r="S21" s="59" t="str">
        <f t="shared" si="2"/>
        <v>Azul</v>
      </c>
      <c r="T21" s="75" t="s">
        <v>384</v>
      </c>
      <c r="U21">
        <f t="shared" si="16"/>
        <v>0</v>
      </c>
      <c r="V21">
        <f t="shared" si="17"/>
        <v>0</v>
      </c>
      <c r="W21">
        <f t="shared" si="18"/>
        <v>0</v>
      </c>
      <c r="X21">
        <f t="shared" si="19"/>
        <v>7</v>
      </c>
      <c r="Y21">
        <f t="shared" si="29"/>
        <v>7</v>
      </c>
      <c r="Z21" s="85">
        <f t="shared" si="30"/>
        <v>1.0000000000000002</v>
      </c>
      <c r="AB21" s="59" t="str">
        <f t="shared" si="3"/>
        <v>Azul</v>
      </c>
      <c r="AC21" s="75" t="s">
        <v>384</v>
      </c>
      <c r="AD21">
        <f t="shared" si="20"/>
        <v>0</v>
      </c>
      <c r="AE21">
        <f t="shared" si="21"/>
        <v>0</v>
      </c>
      <c r="AF21">
        <f t="shared" si="22"/>
        <v>1</v>
      </c>
      <c r="AG21">
        <f t="shared" si="23"/>
        <v>6</v>
      </c>
      <c r="AH21">
        <f t="shared" si="31"/>
        <v>7</v>
      </c>
      <c r="AI21" s="85">
        <f t="shared" si="32"/>
        <v>1.0000000000000002</v>
      </c>
      <c r="AK21" s="59" t="str">
        <f t="shared" si="6"/>
        <v>Azul</v>
      </c>
      <c r="AL21" s="75" t="s">
        <v>384</v>
      </c>
      <c r="AM21">
        <f t="shared" si="24"/>
        <v>0</v>
      </c>
      <c r="AN21">
        <f t="shared" si="25"/>
        <v>1</v>
      </c>
      <c r="AO21">
        <f t="shared" si="26"/>
        <v>0</v>
      </c>
      <c r="AP21">
        <f t="shared" si="27"/>
        <v>6</v>
      </c>
      <c r="AQ21">
        <f t="shared" si="33"/>
        <v>7</v>
      </c>
      <c r="AR21" s="85">
        <f t="shared" si="8"/>
        <v>1.0000000000000002</v>
      </c>
    </row>
    <row r="22" spans="1:44" x14ac:dyDescent="0.25">
      <c r="A22" t="str">
        <f>Metas!$A$18</f>
        <v>SF-PY4</v>
      </c>
      <c r="B22" t="str">
        <f>Metas!B22</f>
        <v>SF-PY4.5</v>
      </c>
      <c r="C22" s="123">
        <f>Metas!R22</f>
        <v>1</v>
      </c>
      <c r="D22" s="66">
        <f>Metas!W22</f>
        <v>0.5</v>
      </c>
      <c r="E22" s="66">
        <f>Metas!AC22</f>
        <v>0.75</v>
      </c>
      <c r="F22" s="66">
        <f>Metas!AI22</f>
        <v>0.75</v>
      </c>
      <c r="J22" s="59" t="str">
        <f t="shared" si="0"/>
        <v>Azul</v>
      </c>
      <c r="K22" s="75" t="s">
        <v>395</v>
      </c>
      <c r="L22">
        <f t="shared" si="9"/>
        <v>0</v>
      </c>
      <c r="M22">
        <f t="shared" si="13"/>
        <v>0</v>
      </c>
      <c r="N22">
        <f t="shared" si="14"/>
        <v>0</v>
      </c>
      <c r="O22">
        <f t="shared" si="15"/>
        <v>2</v>
      </c>
      <c r="P22">
        <f t="shared" si="34"/>
        <v>2</v>
      </c>
      <c r="Q22" s="85">
        <f t="shared" ref="Q22:Q40" si="36">IFERROR(((100/P22)*(SUM(M22:O22)/100)),0)</f>
        <v>1</v>
      </c>
      <c r="S22" s="59" t="str">
        <f t="shared" si="2"/>
        <v>Azul</v>
      </c>
      <c r="T22" s="75" t="s">
        <v>395</v>
      </c>
      <c r="U22">
        <f t="shared" si="16"/>
        <v>0</v>
      </c>
      <c r="V22">
        <f t="shared" si="17"/>
        <v>0</v>
      </c>
      <c r="W22">
        <f t="shared" si="18"/>
        <v>0</v>
      </c>
      <c r="X22">
        <f t="shared" si="19"/>
        <v>2</v>
      </c>
      <c r="Y22">
        <f t="shared" si="29"/>
        <v>2</v>
      </c>
      <c r="Z22" s="85">
        <f t="shared" si="30"/>
        <v>1</v>
      </c>
      <c r="AB22" s="59" t="str">
        <f t="shared" si="3"/>
        <v>Azul</v>
      </c>
      <c r="AC22" s="75" t="s">
        <v>395</v>
      </c>
      <c r="AD22">
        <f t="shared" si="20"/>
        <v>0</v>
      </c>
      <c r="AE22">
        <f t="shared" si="21"/>
        <v>0</v>
      </c>
      <c r="AF22">
        <f t="shared" si="22"/>
        <v>0</v>
      </c>
      <c r="AG22">
        <f t="shared" si="23"/>
        <v>2</v>
      </c>
      <c r="AH22">
        <f t="shared" si="31"/>
        <v>2</v>
      </c>
      <c r="AI22" s="85">
        <f t="shared" si="32"/>
        <v>1</v>
      </c>
      <c r="AK22" s="59" t="str">
        <f t="shared" si="6"/>
        <v>Amarillo</v>
      </c>
      <c r="AL22" s="75" t="s">
        <v>395</v>
      </c>
      <c r="AM22">
        <f t="shared" si="24"/>
        <v>0</v>
      </c>
      <c r="AN22">
        <f t="shared" si="25"/>
        <v>0</v>
      </c>
      <c r="AO22">
        <f t="shared" si="26"/>
        <v>0</v>
      </c>
      <c r="AP22">
        <f t="shared" si="27"/>
        <v>2</v>
      </c>
      <c r="AQ22">
        <f t="shared" si="33"/>
        <v>2</v>
      </c>
      <c r="AR22" s="85">
        <f t="shared" si="8"/>
        <v>1</v>
      </c>
    </row>
    <row r="23" spans="1:44" x14ac:dyDescent="0.25">
      <c r="A23" t="str">
        <f>Metas!$A$18</f>
        <v>SF-PY4</v>
      </c>
      <c r="B23" t="str">
        <f>Metas!B23</f>
        <v>SF-PY4.6</v>
      </c>
      <c r="C23" s="123">
        <f>Metas!R23</f>
        <v>1</v>
      </c>
      <c r="D23" s="66">
        <f>Metas!W23</f>
        <v>0.5</v>
      </c>
      <c r="E23" s="66">
        <f>Metas!AC23</f>
        <v>0.75</v>
      </c>
      <c r="F23" s="66">
        <f>Metas!AI23</f>
        <v>0.75</v>
      </c>
      <c r="J23" s="59" t="str">
        <f t="shared" si="0"/>
        <v>Azul</v>
      </c>
      <c r="K23" s="75" t="s">
        <v>399</v>
      </c>
      <c r="L23">
        <f t="shared" si="9"/>
        <v>0</v>
      </c>
      <c r="M23">
        <f t="shared" si="13"/>
        <v>0</v>
      </c>
      <c r="N23">
        <f t="shared" si="14"/>
        <v>0</v>
      </c>
      <c r="O23">
        <f t="shared" si="15"/>
        <v>1</v>
      </c>
      <c r="P23">
        <f t="shared" si="34"/>
        <v>1</v>
      </c>
      <c r="Q23" s="85">
        <f t="shared" si="36"/>
        <v>1</v>
      </c>
      <c r="S23" s="59" t="str">
        <f t="shared" si="2"/>
        <v>Azul</v>
      </c>
      <c r="T23" s="75" t="s">
        <v>399</v>
      </c>
      <c r="U23">
        <f t="shared" si="16"/>
        <v>0</v>
      </c>
      <c r="V23">
        <f t="shared" si="17"/>
        <v>0</v>
      </c>
      <c r="W23">
        <f t="shared" si="18"/>
        <v>0</v>
      </c>
      <c r="X23">
        <f t="shared" si="19"/>
        <v>1</v>
      </c>
      <c r="Y23">
        <f t="shared" si="29"/>
        <v>1</v>
      </c>
      <c r="Z23" s="85">
        <f t="shared" si="30"/>
        <v>1</v>
      </c>
      <c r="AB23" s="59" t="str">
        <f t="shared" si="3"/>
        <v>Azul</v>
      </c>
      <c r="AC23" s="75" t="s">
        <v>399</v>
      </c>
      <c r="AD23">
        <f t="shared" si="20"/>
        <v>0</v>
      </c>
      <c r="AE23">
        <f t="shared" si="21"/>
        <v>0</v>
      </c>
      <c r="AF23">
        <f t="shared" si="22"/>
        <v>0</v>
      </c>
      <c r="AG23">
        <f t="shared" si="23"/>
        <v>1</v>
      </c>
      <c r="AH23">
        <f t="shared" si="31"/>
        <v>1</v>
      </c>
      <c r="AI23" s="85">
        <f t="shared" si="32"/>
        <v>1</v>
      </c>
      <c r="AK23" s="59" t="str">
        <f t="shared" si="6"/>
        <v>Amarillo</v>
      </c>
      <c r="AL23" s="75" t="s">
        <v>399</v>
      </c>
      <c r="AM23">
        <f t="shared" si="24"/>
        <v>0</v>
      </c>
      <c r="AN23">
        <f t="shared" si="25"/>
        <v>0</v>
      </c>
      <c r="AO23">
        <f t="shared" si="26"/>
        <v>0</v>
      </c>
      <c r="AP23">
        <f t="shared" si="27"/>
        <v>1</v>
      </c>
      <c r="AQ23">
        <f t="shared" si="33"/>
        <v>1</v>
      </c>
      <c r="AR23" s="85">
        <f t="shared" si="8"/>
        <v>1</v>
      </c>
    </row>
    <row r="24" spans="1:44" x14ac:dyDescent="0.25">
      <c r="A24" t="str">
        <f>Metas!$A$18</f>
        <v>SF-PY4</v>
      </c>
      <c r="B24" t="str">
        <f>Metas!B24</f>
        <v>SF-PY4.7</v>
      </c>
      <c r="C24" s="123">
        <f>Metas!R24</f>
        <v>1</v>
      </c>
      <c r="D24" s="66">
        <f>Metas!W24</f>
        <v>1</v>
      </c>
      <c r="E24" s="66">
        <f>Metas!AC24</f>
        <v>1.5</v>
      </c>
      <c r="F24" s="66">
        <f>Metas!AI24</f>
        <v>1.5</v>
      </c>
      <c r="J24" s="59" t="str">
        <f t="shared" si="0"/>
        <v>Azul</v>
      </c>
      <c r="K24" s="75" t="s">
        <v>401</v>
      </c>
      <c r="L24">
        <f t="shared" si="9"/>
        <v>0</v>
      </c>
      <c r="M24">
        <f t="shared" si="13"/>
        <v>0</v>
      </c>
      <c r="N24">
        <f t="shared" si="14"/>
        <v>0</v>
      </c>
      <c r="O24">
        <f t="shared" si="15"/>
        <v>1</v>
      </c>
      <c r="P24">
        <f t="shared" si="34"/>
        <v>1</v>
      </c>
      <c r="Q24" s="85">
        <f t="shared" si="36"/>
        <v>1</v>
      </c>
      <c r="S24" s="59" t="str">
        <f t="shared" si="2"/>
        <v>Azul</v>
      </c>
      <c r="T24" s="75" t="s">
        <v>401</v>
      </c>
      <c r="U24">
        <f t="shared" si="16"/>
        <v>0</v>
      </c>
      <c r="V24">
        <f t="shared" si="17"/>
        <v>0</v>
      </c>
      <c r="W24">
        <f t="shared" si="18"/>
        <v>0</v>
      </c>
      <c r="X24">
        <f t="shared" si="19"/>
        <v>1</v>
      </c>
      <c r="Y24">
        <f t="shared" si="29"/>
        <v>1</v>
      </c>
      <c r="Z24" s="85">
        <f t="shared" si="30"/>
        <v>1</v>
      </c>
      <c r="AB24" s="59" t="str">
        <f t="shared" si="3"/>
        <v>Azul</v>
      </c>
      <c r="AC24" s="75" t="s">
        <v>401</v>
      </c>
      <c r="AD24">
        <f t="shared" si="20"/>
        <v>0</v>
      </c>
      <c r="AE24">
        <f t="shared" si="21"/>
        <v>0</v>
      </c>
      <c r="AF24">
        <f t="shared" si="22"/>
        <v>0</v>
      </c>
      <c r="AG24">
        <f t="shared" si="23"/>
        <v>1</v>
      </c>
      <c r="AH24">
        <f t="shared" si="31"/>
        <v>1</v>
      </c>
      <c r="AI24" s="85">
        <f t="shared" si="32"/>
        <v>1</v>
      </c>
      <c r="AK24" s="59" t="str">
        <f t="shared" si="6"/>
        <v>Azul</v>
      </c>
      <c r="AL24" s="75" t="s">
        <v>401</v>
      </c>
      <c r="AM24">
        <f t="shared" si="24"/>
        <v>0</v>
      </c>
      <c r="AN24">
        <f t="shared" si="25"/>
        <v>0</v>
      </c>
      <c r="AO24">
        <f t="shared" si="26"/>
        <v>0</v>
      </c>
      <c r="AP24">
        <f t="shared" si="27"/>
        <v>1</v>
      </c>
      <c r="AQ24">
        <f t="shared" si="33"/>
        <v>1</v>
      </c>
      <c r="AR24" s="85">
        <f t="shared" si="8"/>
        <v>1</v>
      </c>
    </row>
    <row r="25" spans="1:44" x14ac:dyDescent="0.25">
      <c r="A25" t="str">
        <f>Metas!$A$18</f>
        <v>SF-PY4</v>
      </c>
      <c r="B25" t="str">
        <f>Metas!B25</f>
        <v>SF-PY4.8</v>
      </c>
      <c r="C25" s="123">
        <f>Metas!R25</f>
        <v>1</v>
      </c>
      <c r="D25" s="66">
        <f>Metas!W25</f>
        <v>0.5</v>
      </c>
      <c r="E25" s="66">
        <f>Metas!AC25</f>
        <v>0.75</v>
      </c>
      <c r="F25" s="66">
        <f>Metas!AI25</f>
        <v>0.75</v>
      </c>
      <c r="J25" s="59" t="str">
        <f t="shared" si="0"/>
        <v>Azul</v>
      </c>
      <c r="K25" s="75" t="s">
        <v>403</v>
      </c>
      <c r="L25">
        <f t="shared" si="9"/>
        <v>0</v>
      </c>
      <c r="M25">
        <f t="shared" si="13"/>
        <v>0</v>
      </c>
      <c r="N25">
        <f t="shared" si="14"/>
        <v>0</v>
      </c>
      <c r="O25">
        <f t="shared" si="15"/>
        <v>1</v>
      </c>
      <c r="P25">
        <f t="shared" si="34"/>
        <v>1</v>
      </c>
      <c r="Q25" s="85">
        <f t="shared" si="36"/>
        <v>1</v>
      </c>
      <c r="S25" s="59" t="str">
        <f t="shared" si="2"/>
        <v>Azul</v>
      </c>
      <c r="T25" s="75" t="s">
        <v>403</v>
      </c>
      <c r="U25">
        <f t="shared" si="16"/>
        <v>0</v>
      </c>
      <c r="V25">
        <f t="shared" si="17"/>
        <v>0</v>
      </c>
      <c r="W25">
        <f t="shared" si="18"/>
        <v>0</v>
      </c>
      <c r="X25">
        <f t="shared" si="19"/>
        <v>1</v>
      </c>
      <c r="Y25">
        <f t="shared" si="29"/>
        <v>1</v>
      </c>
      <c r="Z25" s="85">
        <f t="shared" si="30"/>
        <v>1</v>
      </c>
      <c r="AB25" s="59" t="str">
        <f t="shared" si="3"/>
        <v>Azul</v>
      </c>
      <c r="AC25" s="75" t="s">
        <v>403</v>
      </c>
      <c r="AD25">
        <f t="shared" si="20"/>
        <v>0</v>
      </c>
      <c r="AE25">
        <f t="shared" si="21"/>
        <v>0</v>
      </c>
      <c r="AF25">
        <f t="shared" si="22"/>
        <v>0</v>
      </c>
      <c r="AG25">
        <f t="shared" si="23"/>
        <v>1</v>
      </c>
      <c r="AH25">
        <f t="shared" si="31"/>
        <v>1</v>
      </c>
      <c r="AI25" s="85">
        <f t="shared" si="32"/>
        <v>1</v>
      </c>
      <c r="AK25" s="59" t="str">
        <f t="shared" si="6"/>
        <v>Amarillo</v>
      </c>
      <c r="AL25" s="75" t="s">
        <v>403</v>
      </c>
      <c r="AM25">
        <f t="shared" si="24"/>
        <v>0</v>
      </c>
      <c r="AN25">
        <f t="shared" si="25"/>
        <v>0</v>
      </c>
      <c r="AO25">
        <f t="shared" si="26"/>
        <v>0</v>
      </c>
      <c r="AP25">
        <f t="shared" si="27"/>
        <v>1</v>
      </c>
      <c r="AQ25">
        <f t="shared" si="33"/>
        <v>1</v>
      </c>
      <c r="AR25" s="85">
        <f t="shared" si="8"/>
        <v>1</v>
      </c>
    </row>
    <row r="26" spans="1:44" x14ac:dyDescent="0.25">
      <c r="A26" t="str">
        <f>Metas!$A$18</f>
        <v>SF-PY4</v>
      </c>
      <c r="B26" t="str">
        <f>Metas!B26</f>
        <v>SF-PY4.9</v>
      </c>
      <c r="C26" s="123">
        <f>Metas!R26</f>
        <v>1</v>
      </c>
      <c r="D26" s="66">
        <f>Metas!W26</f>
        <v>0.5</v>
      </c>
      <c r="E26" s="66">
        <f>Metas!AC26</f>
        <v>0.75</v>
      </c>
      <c r="F26" s="66">
        <f>Metas!AI26</f>
        <v>0.75</v>
      </c>
      <c r="J26" s="59" t="str">
        <f t="shared" si="0"/>
        <v>Azul</v>
      </c>
      <c r="K26" s="75" t="s">
        <v>405</v>
      </c>
      <c r="L26">
        <f t="shared" si="9"/>
        <v>0</v>
      </c>
      <c r="M26">
        <f t="shared" si="13"/>
        <v>0</v>
      </c>
      <c r="N26">
        <f t="shared" si="14"/>
        <v>0</v>
      </c>
      <c r="O26">
        <f t="shared" si="15"/>
        <v>3</v>
      </c>
      <c r="P26">
        <f t="shared" si="34"/>
        <v>3</v>
      </c>
      <c r="Q26" s="85">
        <f t="shared" si="36"/>
        <v>1</v>
      </c>
      <c r="S26" s="59" t="str">
        <f t="shared" si="2"/>
        <v>Azul</v>
      </c>
      <c r="T26" s="75" t="s">
        <v>405</v>
      </c>
      <c r="U26">
        <f t="shared" si="16"/>
        <v>0</v>
      </c>
      <c r="V26">
        <f t="shared" si="17"/>
        <v>0</v>
      </c>
      <c r="W26">
        <f t="shared" si="18"/>
        <v>0</v>
      </c>
      <c r="X26">
        <f t="shared" si="19"/>
        <v>3</v>
      </c>
      <c r="Y26">
        <f t="shared" si="29"/>
        <v>3</v>
      </c>
      <c r="Z26" s="85">
        <f t="shared" si="30"/>
        <v>1</v>
      </c>
      <c r="AB26" s="59" t="str">
        <f t="shared" si="3"/>
        <v>Azul</v>
      </c>
      <c r="AC26" s="75" t="s">
        <v>405</v>
      </c>
      <c r="AD26">
        <f t="shared" si="20"/>
        <v>0</v>
      </c>
      <c r="AE26">
        <f t="shared" si="21"/>
        <v>0</v>
      </c>
      <c r="AF26">
        <f t="shared" si="22"/>
        <v>0</v>
      </c>
      <c r="AG26">
        <f t="shared" si="23"/>
        <v>3</v>
      </c>
      <c r="AH26">
        <f t="shared" si="31"/>
        <v>3</v>
      </c>
      <c r="AI26" s="85">
        <f t="shared" si="32"/>
        <v>1</v>
      </c>
      <c r="AK26" s="59" t="str">
        <f t="shared" si="6"/>
        <v>Amarillo</v>
      </c>
      <c r="AL26" s="75" t="s">
        <v>405</v>
      </c>
      <c r="AM26">
        <f t="shared" si="24"/>
        <v>0</v>
      </c>
      <c r="AN26">
        <f t="shared" si="25"/>
        <v>0</v>
      </c>
      <c r="AO26">
        <f t="shared" si="26"/>
        <v>0</v>
      </c>
      <c r="AP26">
        <f t="shared" si="27"/>
        <v>3</v>
      </c>
      <c r="AQ26">
        <f t="shared" si="33"/>
        <v>3</v>
      </c>
      <c r="AR26" s="85">
        <f t="shared" si="8"/>
        <v>1</v>
      </c>
    </row>
    <row r="27" spans="1:44" x14ac:dyDescent="0.25">
      <c r="A27" t="str">
        <f>Metas!A27</f>
        <v>SF-PY5</v>
      </c>
      <c r="B27" t="str">
        <f>Metas!B27</f>
        <v>SF-PY5.1</v>
      </c>
      <c r="C27" s="123">
        <f>Metas!R27</f>
        <v>1</v>
      </c>
      <c r="D27" s="66">
        <f>Metas!W27</f>
        <v>17.5</v>
      </c>
      <c r="E27" s="66">
        <f>Metas!AC27</f>
        <v>26.25</v>
      </c>
      <c r="F27" s="66">
        <f>Metas!AI27</f>
        <v>26.25</v>
      </c>
      <c r="J27" s="59" t="str">
        <f t="shared" si="0"/>
        <v>Azul</v>
      </c>
      <c r="K27" s="75" t="s">
        <v>414</v>
      </c>
      <c r="L27">
        <f t="shared" si="9"/>
        <v>0</v>
      </c>
      <c r="M27">
        <f t="shared" si="13"/>
        <v>0</v>
      </c>
      <c r="N27">
        <f t="shared" si="14"/>
        <v>0</v>
      </c>
      <c r="O27">
        <f t="shared" si="15"/>
        <v>3</v>
      </c>
      <c r="P27">
        <f t="shared" si="34"/>
        <v>3</v>
      </c>
      <c r="Q27" s="85">
        <f t="shared" si="36"/>
        <v>1</v>
      </c>
      <c r="S27" s="59" t="str">
        <f t="shared" si="2"/>
        <v>Azul</v>
      </c>
      <c r="T27" s="75" t="s">
        <v>414</v>
      </c>
      <c r="U27">
        <f t="shared" si="16"/>
        <v>0</v>
      </c>
      <c r="V27">
        <f t="shared" si="17"/>
        <v>0</v>
      </c>
      <c r="W27">
        <f t="shared" si="18"/>
        <v>0</v>
      </c>
      <c r="X27">
        <f t="shared" si="19"/>
        <v>3</v>
      </c>
      <c r="Y27">
        <f t="shared" si="29"/>
        <v>3</v>
      </c>
      <c r="Z27" s="85">
        <f t="shared" si="30"/>
        <v>1</v>
      </c>
      <c r="AB27" s="59" t="str">
        <f t="shared" si="3"/>
        <v>Azul</v>
      </c>
      <c r="AC27" s="75" t="s">
        <v>414</v>
      </c>
      <c r="AD27">
        <f t="shared" si="20"/>
        <v>0</v>
      </c>
      <c r="AE27">
        <f t="shared" si="21"/>
        <v>0</v>
      </c>
      <c r="AF27">
        <f t="shared" si="22"/>
        <v>0</v>
      </c>
      <c r="AG27">
        <f t="shared" si="23"/>
        <v>3</v>
      </c>
      <c r="AH27">
        <f t="shared" si="31"/>
        <v>3</v>
      </c>
      <c r="AI27" s="85">
        <f t="shared" si="32"/>
        <v>1</v>
      </c>
      <c r="AK27" s="59" t="str">
        <f t="shared" si="6"/>
        <v>Azul</v>
      </c>
      <c r="AL27" s="75" t="s">
        <v>414</v>
      </c>
      <c r="AM27">
        <f t="shared" si="24"/>
        <v>0</v>
      </c>
      <c r="AN27">
        <f t="shared" si="25"/>
        <v>0</v>
      </c>
      <c r="AO27">
        <f t="shared" si="26"/>
        <v>0</v>
      </c>
      <c r="AP27">
        <f t="shared" si="27"/>
        <v>3</v>
      </c>
      <c r="AQ27">
        <f t="shared" si="33"/>
        <v>3</v>
      </c>
      <c r="AR27" s="85">
        <f t="shared" si="8"/>
        <v>1</v>
      </c>
    </row>
    <row r="28" spans="1:44" x14ac:dyDescent="0.25">
      <c r="A28" t="str">
        <f>Metas!$A$28</f>
        <v>SF-PY6</v>
      </c>
      <c r="B28" t="str">
        <f>Metas!B28</f>
        <v>SF-PY6.1</v>
      </c>
      <c r="C28" s="123">
        <f>Metas!R28</f>
        <v>1</v>
      </c>
      <c r="D28" s="66">
        <f>Metas!W28</f>
        <v>0.5</v>
      </c>
      <c r="E28" s="66">
        <f>Metas!AC28</f>
        <v>0.75</v>
      </c>
      <c r="F28" s="66">
        <f>Metas!AI28</f>
        <v>0.75</v>
      </c>
      <c r="J28" s="59" t="str">
        <f t="shared" si="0"/>
        <v>Azul</v>
      </c>
      <c r="K28" s="75" t="s">
        <v>421</v>
      </c>
      <c r="L28">
        <f t="shared" si="9"/>
        <v>0</v>
      </c>
      <c r="M28">
        <f t="shared" si="13"/>
        <v>0</v>
      </c>
      <c r="N28">
        <f t="shared" si="14"/>
        <v>0</v>
      </c>
      <c r="O28">
        <f t="shared" si="15"/>
        <v>1</v>
      </c>
      <c r="P28">
        <f t="shared" si="34"/>
        <v>1</v>
      </c>
      <c r="Q28" s="85">
        <f t="shared" si="36"/>
        <v>1</v>
      </c>
      <c r="S28" s="59" t="str">
        <f t="shared" si="2"/>
        <v>Azul</v>
      </c>
      <c r="T28" s="75" t="s">
        <v>421</v>
      </c>
      <c r="U28">
        <f t="shared" si="16"/>
        <v>0</v>
      </c>
      <c r="V28">
        <f t="shared" si="17"/>
        <v>0</v>
      </c>
      <c r="W28">
        <f t="shared" si="18"/>
        <v>0</v>
      </c>
      <c r="X28">
        <f t="shared" si="19"/>
        <v>1</v>
      </c>
      <c r="Y28">
        <f t="shared" si="29"/>
        <v>1</v>
      </c>
      <c r="Z28" s="85">
        <f t="shared" si="30"/>
        <v>1</v>
      </c>
      <c r="AB28" s="59" t="str">
        <f t="shared" si="3"/>
        <v>Azul</v>
      </c>
      <c r="AC28" s="75" t="s">
        <v>421</v>
      </c>
      <c r="AD28">
        <f t="shared" si="20"/>
        <v>0</v>
      </c>
      <c r="AE28">
        <f t="shared" si="21"/>
        <v>0</v>
      </c>
      <c r="AF28">
        <f t="shared" si="22"/>
        <v>0</v>
      </c>
      <c r="AG28">
        <f t="shared" si="23"/>
        <v>1</v>
      </c>
      <c r="AH28">
        <f t="shared" si="31"/>
        <v>1</v>
      </c>
      <c r="AI28" s="85">
        <f t="shared" si="32"/>
        <v>1</v>
      </c>
      <c r="AK28" s="59" t="str">
        <f t="shared" si="6"/>
        <v>Amarillo</v>
      </c>
      <c r="AL28" s="75" t="s">
        <v>421</v>
      </c>
      <c r="AM28">
        <f t="shared" si="24"/>
        <v>0</v>
      </c>
      <c r="AN28">
        <f t="shared" si="25"/>
        <v>0</v>
      </c>
      <c r="AO28">
        <f t="shared" si="26"/>
        <v>0</v>
      </c>
      <c r="AP28">
        <f t="shared" si="27"/>
        <v>1</v>
      </c>
      <c r="AQ28">
        <f t="shared" si="33"/>
        <v>1</v>
      </c>
      <c r="AR28" s="85">
        <f t="shared" si="8"/>
        <v>1</v>
      </c>
    </row>
    <row r="29" spans="1:44" x14ac:dyDescent="0.25">
      <c r="A29" t="str">
        <f>Metas!$A$28</f>
        <v>SF-PY6</v>
      </c>
      <c r="B29" t="str">
        <f>Metas!B29</f>
        <v>SF-PY6.2</v>
      </c>
      <c r="C29" s="123">
        <f>Metas!R29</f>
        <v>1</v>
      </c>
      <c r="D29" s="66">
        <f>Metas!W29</f>
        <v>0.5</v>
      </c>
      <c r="E29" s="66">
        <f>Metas!AC29</f>
        <v>0.75</v>
      </c>
      <c r="F29" s="66">
        <f>Metas!AI29</f>
        <v>0.75</v>
      </c>
      <c r="J29" s="59" t="str">
        <f t="shared" si="0"/>
        <v>Azul</v>
      </c>
      <c r="K29" s="75" t="s">
        <v>424</v>
      </c>
      <c r="L29">
        <f t="shared" si="9"/>
        <v>0</v>
      </c>
      <c r="M29">
        <f t="shared" si="13"/>
        <v>0</v>
      </c>
      <c r="N29">
        <f t="shared" si="14"/>
        <v>0</v>
      </c>
      <c r="O29">
        <f t="shared" si="15"/>
        <v>1</v>
      </c>
      <c r="P29">
        <f t="shared" si="34"/>
        <v>1</v>
      </c>
      <c r="Q29" s="85">
        <f t="shared" si="36"/>
        <v>1</v>
      </c>
      <c r="S29" s="59" t="str">
        <f t="shared" si="2"/>
        <v>Azul</v>
      </c>
      <c r="T29" s="75" t="s">
        <v>424</v>
      </c>
      <c r="U29">
        <f t="shared" si="16"/>
        <v>0</v>
      </c>
      <c r="V29">
        <f t="shared" si="17"/>
        <v>0</v>
      </c>
      <c r="W29">
        <f t="shared" si="18"/>
        <v>0</v>
      </c>
      <c r="X29">
        <f t="shared" si="19"/>
        <v>1</v>
      </c>
      <c r="Y29">
        <f t="shared" si="29"/>
        <v>1</v>
      </c>
      <c r="Z29" s="85">
        <f t="shared" si="30"/>
        <v>1</v>
      </c>
      <c r="AB29" s="59" t="str">
        <f t="shared" si="3"/>
        <v>Azul</v>
      </c>
      <c r="AC29" s="75" t="s">
        <v>424</v>
      </c>
      <c r="AD29">
        <f t="shared" si="20"/>
        <v>0</v>
      </c>
      <c r="AE29">
        <f t="shared" si="21"/>
        <v>0</v>
      </c>
      <c r="AF29">
        <f t="shared" si="22"/>
        <v>0</v>
      </c>
      <c r="AG29">
        <f t="shared" si="23"/>
        <v>1</v>
      </c>
      <c r="AH29">
        <f t="shared" si="31"/>
        <v>1</v>
      </c>
      <c r="AI29" s="85">
        <f t="shared" si="32"/>
        <v>1</v>
      </c>
      <c r="AK29" s="59" t="str">
        <f t="shared" si="6"/>
        <v>Amarillo</v>
      </c>
      <c r="AL29" s="75" t="s">
        <v>424</v>
      </c>
      <c r="AM29">
        <f t="shared" si="24"/>
        <v>0</v>
      </c>
      <c r="AN29">
        <f t="shared" si="25"/>
        <v>0</v>
      </c>
      <c r="AO29">
        <f t="shared" si="26"/>
        <v>0</v>
      </c>
      <c r="AP29">
        <f t="shared" si="27"/>
        <v>1</v>
      </c>
      <c r="AQ29">
        <f t="shared" si="33"/>
        <v>1</v>
      </c>
      <c r="AR29" s="85">
        <f t="shared" si="8"/>
        <v>1</v>
      </c>
    </row>
    <row r="30" spans="1:44" x14ac:dyDescent="0.25">
      <c r="A30" t="str">
        <f>Metas!$A$28</f>
        <v>SF-PY6</v>
      </c>
      <c r="B30" t="str">
        <f>Metas!B30</f>
        <v>SF-PY6.3</v>
      </c>
      <c r="C30" s="123">
        <f>Metas!R30</f>
        <v>1</v>
      </c>
      <c r="D30" s="66">
        <f>Metas!W30</f>
        <v>0.5</v>
      </c>
      <c r="E30" s="66">
        <f>Metas!AC30</f>
        <v>0.75</v>
      </c>
      <c r="F30" s="66">
        <f>Metas!AI30</f>
        <v>0.75</v>
      </c>
      <c r="J30" s="59" t="str">
        <f t="shared" si="0"/>
        <v>Azul</v>
      </c>
      <c r="K30" s="75" t="s">
        <v>427</v>
      </c>
      <c r="L30">
        <f t="shared" si="9"/>
        <v>2</v>
      </c>
      <c r="M30">
        <f t="shared" si="13"/>
        <v>0</v>
      </c>
      <c r="N30">
        <f t="shared" si="14"/>
        <v>0</v>
      </c>
      <c r="O30">
        <f t="shared" si="15"/>
        <v>0</v>
      </c>
      <c r="P30">
        <f t="shared" si="34"/>
        <v>2</v>
      </c>
      <c r="Q30" s="85">
        <f t="shared" si="36"/>
        <v>0</v>
      </c>
      <c r="S30" s="59" t="str">
        <f t="shared" si="2"/>
        <v>Azul</v>
      </c>
      <c r="T30" s="75" t="s">
        <v>427</v>
      </c>
      <c r="U30">
        <f t="shared" si="16"/>
        <v>2</v>
      </c>
      <c r="V30">
        <f t="shared" si="17"/>
        <v>0</v>
      </c>
      <c r="W30">
        <f t="shared" si="18"/>
        <v>0</v>
      </c>
      <c r="X30">
        <f t="shared" si="19"/>
        <v>0</v>
      </c>
      <c r="Y30">
        <f t="shared" si="29"/>
        <v>2</v>
      </c>
      <c r="Z30" s="85">
        <f t="shared" si="30"/>
        <v>0</v>
      </c>
      <c r="AB30" s="59" t="str">
        <f t="shared" si="3"/>
        <v>Azul</v>
      </c>
      <c r="AC30" s="75" t="s">
        <v>427</v>
      </c>
      <c r="AD30">
        <f t="shared" si="20"/>
        <v>0</v>
      </c>
      <c r="AE30">
        <f t="shared" si="21"/>
        <v>0</v>
      </c>
      <c r="AF30">
        <f t="shared" si="22"/>
        <v>0</v>
      </c>
      <c r="AG30">
        <f t="shared" si="23"/>
        <v>2</v>
      </c>
      <c r="AH30">
        <f t="shared" si="31"/>
        <v>2</v>
      </c>
      <c r="AI30" s="85">
        <f t="shared" si="32"/>
        <v>1</v>
      </c>
      <c r="AK30" s="59" t="str">
        <f t="shared" si="6"/>
        <v>Amarillo</v>
      </c>
      <c r="AL30" s="75" t="s">
        <v>427</v>
      </c>
      <c r="AM30">
        <f t="shared" si="24"/>
        <v>0</v>
      </c>
      <c r="AN30">
        <f t="shared" si="25"/>
        <v>0</v>
      </c>
      <c r="AO30">
        <f t="shared" si="26"/>
        <v>0</v>
      </c>
      <c r="AP30">
        <f t="shared" si="27"/>
        <v>2</v>
      </c>
      <c r="AQ30">
        <f t="shared" si="33"/>
        <v>2</v>
      </c>
      <c r="AR30" s="85">
        <f t="shared" si="8"/>
        <v>1</v>
      </c>
    </row>
    <row r="31" spans="1:44" x14ac:dyDescent="0.25">
      <c r="A31" t="str">
        <f>Metas!$A$31</f>
        <v>SF-PY7</v>
      </c>
      <c r="B31" t="str">
        <f>Metas!B31</f>
        <v>SF-PY7.1</v>
      </c>
      <c r="C31" s="123">
        <f>Metas!R31</f>
        <v>1</v>
      </c>
      <c r="D31" s="66">
        <f>Metas!W31</f>
        <v>4</v>
      </c>
      <c r="E31" s="66">
        <f>Metas!AC31</f>
        <v>6</v>
      </c>
      <c r="F31" s="66">
        <f>Metas!AI31</f>
        <v>6</v>
      </c>
      <c r="J31" s="59" t="str">
        <f t="shared" si="0"/>
        <v>Azul</v>
      </c>
      <c r="K31" s="75" t="s">
        <v>432</v>
      </c>
      <c r="L31">
        <f t="shared" si="9"/>
        <v>0</v>
      </c>
      <c r="M31">
        <f t="shared" si="13"/>
        <v>0</v>
      </c>
      <c r="N31">
        <f t="shared" si="14"/>
        <v>0</v>
      </c>
      <c r="O31">
        <f t="shared" si="15"/>
        <v>2</v>
      </c>
      <c r="P31">
        <f t="shared" si="34"/>
        <v>2</v>
      </c>
      <c r="Q31" s="85">
        <f t="shared" si="36"/>
        <v>1</v>
      </c>
      <c r="S31" s="59" t="str">
        <f t="shared" si="2"/>
        <v>Azul</v>
      </c>
      <c r="T31" s="75" t="s">
        <v>432</v>
      </c>
      <c r="U31">
        <f t="shared" si="16"/>
        <v>0</v>
      </c>
      <c r="V31">
        <f t="shared" si="17"/>
        <v>0</v>
      </c>
      <c r="W31">
        <f t="shared" si="18"/>
        <v>0</v>
      </c>
      <c r="X31">
        <f t="shared" si="19"/>
        <v>2</v>
      </c>
      <c r="Y31">
        <f t="shared" si="29"/>
        <v>2</v>
      </c>
      <c r="Z31" s="85">
        <f t="shared" si="30"/>
        <v>1</v>
      </c>
      <c r="AB31" s="59" t="str">
        <f t="shared" si="3"/>
        <v>Azul</v>
      </c>
      <c r="AC31" s="75" t="s">
        <v>432</v>
      </c>
      <c r="AD31">
        <f t="shared" si="20"/>
        <v>0</v>
      </c>
      <c r="AE31">
        <f t="shared" si="21"/>
        <v>0</v>
      </c>
      <c r="AF31">
        <f t="shared" si="22"/>
        <v>0</v>
      </c>
      <c r="AG31">
        <f t="shared" si="23"/>
        <v>2</v>
      </c>
      <c r="AH31">
        <f t="shared" si="31"/>
        <v>2</v>
      </c>
      <c r="AI31" s="85">
        <f t="shared" si="32"/>
        <v>1</v>
      </c>
      <c r="AK31" s="59" t="str">
        <f t="shared" si="6"/>
        <v>Azul</v>
      </c>
      <c r="AL31" s="75" t="s">
        <v>432</v>
      </c>
      <c r="AM31">
        <f t="shared" si="24"/>
        <v>0</v>
      </c>
      <c r="AN31">
        <f t="shared" si="25"/>
        <v>0</v>
      </c>
      <c r="AO31">
        <f t="shared" si="26"/>
        <v>0</v>
      </c>
      <c r="AP31">
        <f t="shared" si="27"/>
        <v>2</v>
      </c>
      <c r="AQ31">
        <f t="shared" si="33"/>
        <v>2</v>
      </c>
      <c r="AR31" s="85">
        <f t="shared" si="8"/>
        <v>1</v>
      </c>
    </row>
    <row r="32" spans="1:44" x14ac:dyDescent="0.25">
      <c r="A32" t="str">
        <f>Metas!$A$31</f>
        <v>SF-PY7</v>
      </c>
      <c r="B32" t="str">
        <f>Metas!B32</f>
        <v>SF-PY7.2</v>
      </c>
      <c r="C32" s="123">
        <f>Metas!R32</f>
        <v>1</v>
      </c>
      <c r="D32" s="66">
        <f>Metas!W32</f>
        <v>4</v>
      </c>
      <c r="E32" s="66">
        <f>Metas!AC32</f>
        <v>6</v>
      </c>
      <c r="F32" s="66">
        <f>Metas!AI32</f>
        <v>6</v>
      </c>
      <c r="J32" s="59" t="str">
        <f t="shared" si="0"/>
        <v>Azul</v>
      </c>
      <c r="K32" s="75" t="s">
        <v>437</v>
      </c>
      <c r="L32">
        <f t="shared" si="9"/>
        <v>1</v>
      </c>
      <c r="M32">
        <f t="shared" si="13"/>
        <v>0</v>
      </c>
      <c r="N32">
        <f t="shared" si="14"/>
        <v>0</v>
      </c>
      <c r="O32">
        <f t="shared" si="15"/>
        <v>0</v>
      </c>
      <c r="P32">
        <f t="shared" si="34"/>
        <v>1</v>
      </c>
      <c r="Q32" s="85">
        <f t="shared" si="36"/>
        <v>0</v>
      </c>
      <c r="S32" s="59" t="str">
        <f t="shared" si="2"/>
        <v>Azul</v>
      </c>
      <c r="T32" s="75" t="s">
        <v>437</v>
      </c>
      <c r="U32">
        <f t="shared" si="16"/>
        <v>1</v>
      </c>
      <c r="V32">
        <f t="shared" si="17"/>
        <v>0</v>
      </c>
      <c r="W32">
        <f t="shared" si="18"/>
        <v>0</v>
      </c>
      <c r="X32">
        <f t="shared" si="19"/>
        <v>0</v>
      </c>
      <c r="Y32">
        <f t="shared" si="29"/>
        <v>1</v>
      </c>
      <c r="Z32" s="85">
        <f t="shared" si="30"/>
        <v>0</v>
      </c>
      <c r="AB32" s="59" t="str">
        <f t="shared" si="3"/>
        <v>Azul</v>
      </c>
      <c r="AC32" s="75" t="s">
        <v>437</v>
      </c>
      <c r="AD32">
        <f t="shared" si="20"/>
        <v>0</v>
      </c>
      <c r="AE32">
        <f t="shared" si="21"/>
        <v>0</v>
      </c>
      <c r="AF32">
        <f t="shared" si="22"/>
        <v>0</v>
      </c>
      <c r="AG32">
        <f t="shared" si="23"/>
        <v>1</v>
      </c>
      <c r="AH32">
        <f t="shared" si="31"/>
        <v>1</v>
      </c>
      <c r="AI32" s="85">
        <f t="shared" si="32"/>
        <v>1</v>
      </c>
      <c r="AK32" s="59" t="str">
        <f t="shared" si="6"/>
        <v>Azul</v>
      </c>
      <c r="AL32" s="75" t="s">
        <v>437</v>
      </c>
      <c r="AM32">
        <f t="shared" si="24"/>
        <v>0</v>
      </c>
      <c r="AN32">
        <f t="shared" si="25"/>
        <v>0</v>
      </c>
      <c r="AO32">
        <f t="shared" si="26"/>
        <v>0</v>
      </c>
      <c r="AP32">
        <f t="shared" si="27"/>
        <v>1</v>
      </c>
      <c r="AQ32">
        <f t="shared" si="33"/>
        <v>1</v>
      </c>
      <c r="AR32" s="85">
        <f t="shared" si="8"/>
        <v>1</v>
      </c>
    </row>
    <row r="33" spans="1:44" x14ac:dyDescent="0.25">
      <c r="A33" t="str">
        <f>Metas!$A$31</f>
        <v>SF-PY7</v>
      </c>
      <c r="B33" t="str">
        <f>Metas!B33</f>
        <v>SF-PY7.3</v>
      </c>
      <c r="C33" s="123">
        <f>Metas!R33</f>
        <v>1</v>
      </c>
      <c r="D33" s="66">
        <f>Metas!W33</f>
        <v>4</v>
      </c>
      <c r="E33" s="66">
        <f>Metas!AC33</f>
        <v>6</v>
      </c>
      <c r="F33" s="66">
        <f>Metas!AI33</f>
        <v>6</v>
      </c>
      <c r="J33" s="59" t="str">
        <f t="shared" si="0"/>
        <v>Azul</v>
      </c>
      <c r="K33" s="75" t="s">
        <v>440</v>
      </c>
      <c r="L33">
        <f t="shared" si="9"/>
        <v>0</v>
      </c>
      <c r="M33">
        <f t="shared" si="13"/>
        <v>0</v>
      </c>
      <c r="N33">
        <f t="shared" si="14"/>
        <v>0</v>
      </c>
      <c r="O33">
        <f t="shared" si="15"/>
        <v>3</v>
      </c>
      <c r="P33">
        <f t="shared" si="34"/>
        <v>3</v>
      </c>
      <c r="Q33" s="85">
        <f t="shared" si="36"/>
        <v>1</v>
      </c>
      <c r="S33" s="59" t="str">
        <f t="shared" si="2"/>
        <v>Azul</v>
      </c>
      <c r="T33" s="75" t="s">
        <v>440</v>
      </c>
      <c r="U33">
        <f t="shared" si="16"/>
        <v>0</v>
      </c>
      <c r="V33">
        <f t="shared" si="17"/>
        <v>0</v>
      </c>
      <c r="W33">
        <f t="shared" si="18"/>
        <v>0</v>
      </c>
      <c r="X33">
        <f t="shared" si="19"/>
        <v>3</v>
      </c>
      <c r="Y33">
        <f t="shared" si="29"/>
        <v>3</v>
      </c>
      <c r="Z33" s="85">
        <f t="shared" si="30"/>
        <v>1</v>
      </c>
      <c r="AB33" s="59" t="str">
        <f t="shared" si="3"/>
        <v>Azul</v>
      </c>
      <c r="AC33" s="75" t="s">
        <v>440</v>
      </c>
      <c r="AD33">
        <f t="shared" si="20"/>
        <v>0</v>
      </c>
      <c r="AE33">
        <f t="shared" si="21"/>
        <v>0</v>
      </c>
      <c r="AF33">
        <f t="shared" si="22"/>
        <v>0</v>
      </c>
      <c r="AG33">
        <f t="shared" si="23"/>
        <v>3</v>
      </c>
      <c r="AH33">
        <f t="shared" si="31"/>
        <v>3</v>
      </c>
      <c r="AI33" s="85">
        <f t="shared" si="32"/>
        <v>1</v>
      </c>
      <c r="AK33" s="59" t="str">
        <f t="shared" si="6"/>
        <v>Azul</v>
      </c>
      <c r="AL33" s="75" t="s">
        <v>440</v>
      </c>
      <c r="AM33">
        <f t="shared" si="24"/>
        <v>0</v>
      </c>
      <c r="AN33">
        <f t="shared" si="25"/>
        <v>0</v>
      </c>
      <c r="AO33">
        <f t="shared" si="26"/>
        <v>0</v>
      </c>
      <c r="AP33">
        <f t="shared" si="27"/>
        <v>3</v>
      </c>
      <c r="AQ33">
        <f t="shared" si="33"/>
        <v>3</v>
      </c>
      <c r="AR33" s="85">
        <f t="shared" si="8"/>
        <v>1</v>
      </c>
    </row>
    <row r="34" spans="1:44" x14ac:dyDescent="0.25">
      <c r="A34" t="str">
        <f>Metas!$A$34</f>
        <v>SI-PY1</v>
      </c>
      <c r="B34" t="str">
        <f>Metas!B34</f>
        <v>SI-PY1.1</v>
      </c>
      <c r="C34" s="123">
        <f>Metas!R34</f>
        <v>1</v>
      </c>
      <c r="D34" s="9">
        <f>Metas!W34</f>
        <v>3</v>
      </c>
      <c r="E34" s="9">
        <f>Metas!AC34</f>
        <v>4</v>
      </c>
      <c r="F34" s="59">
        <f>Metas!AI34</f>
        <v>4</v>
      </c>
      <c r="J34" s="59" t="str">
        <f t="shared" si="0"/>
        <v>Azul</v>
      </c>
      <c r="K34" s="75" t="s">
        <v>450</v>
      </c>
      <c r="L34">
        <f t="shared" si="9"/>
        <v>0</v>
      </c>
      <c r="M34">
        <f t="shared" si="13"/>
        <v>0</v>
      </c>
      <c r="N34">
        <f t="shared" si="14"/>
        <v>0</v>
      </c>
      <c r="O34">
        <f t="shared" si="15"/>
        <v>1</v>
      </c>
      <c r="P34">
        <f t="shared" si="34"/>
        <v>1</v>
      </c>
      <c r="Q34" s="85">
        <f t="shared" si="36"/>
        <v>1</v>
      </c>
      <c r="S34" s="59" t="str">
        <f t="shared" si="2"/>
        <v>Azul</v>
      </c>
      <c r="T34" s="75" t="s">
        <v>450</v>
      </c>
      <c r="U34">
        <f t="shared" si="16"/>
        <v>1</v>
      </c>
      <c r="V34">
        <f t="shared" si="17"/>
        <v>0</v>
      </c>
      <c r="W34">
        <f t="shared" si="18"/>
        <v>0</v>
      </c>
      <c r="X34">
        <f t="shared" si="19"/>
        <v>0</v>
      </c>
      <c r="Y34">
        <f t="shared" si="29"/>
        <v>1</v>
      </c>
      <c r="Z34" s="85">
        <f t="shared" si="30"/>
        <v>0</v>
      </c>
      <c r="AB34" s="59" t="str">
        <f t="shared" si="3"/>
        <v>Azul</v>
      </c>
      <c r="AC34" s="75" t="s">
        <v>450</v>
      </c>
      <c r="AD34">
        <f t="shared" si="20"/>
        <v>1</v>
      </c>
      <c r="AE34">
        <f t="shared" si="21"/>
        <v>0</v>
      </c>
      <c r="AF34">
        <f t="shared" si="22"/>
        <v>0</v>
      </c>
      <c r="AG34">
        <f t="shared" si="23"/>
        <v>0</v>
      </c>
      <c r="AH34">
        <f t="shared" si="31"/>
        <v>1</v>
      </c>
      <c r="AI34" s="85">
        <f t="shared" si="32"/>
        <v>0</v>
      </c>
      <c r="AK34" s="59" t="str">
        <f t="shared" si="6"/>
        <v>Azul</v>
      </c>
      <c r="AL34" s="75" t="s">
        <v>450</v>
      </c>
      <c r="AM34">
        <f t="shared" si="24"/>
        <v>1</v>
      </c>
      <c r="AN34">
        <f t="shared" si="25"/>
        <v>0</v>
      </c>
      <c r="AO34">
        <f t="shared" si="26"/>
        <v>0</v>
      </c>
      <c r="AP34">
        <f t="shared" si="27"/>
        <v>0</v>
      </c>
      <c r="AQ34">
        <f t="shared" si="33"/>
        <v>1</v>
      </c>
      <c r="AR34" s="85">
        <f t="shared" si="8"/>
        <v>0</v>
      </c>
    </row>
    <row r="35" spans="1:44" x14ac:dyDescent="0.25">
      <c r="A35" t="str">
        <f>Metas!$A$34</f>
        <v>SI-PY1</v>
      </c>
      <c r="B35" t="str">
        <f>Metas!B35</f>
        <v>SI-PY1.2</v>
      </c>
      <c r="C35" s="123">
        <f>Metas!R35</f>
        <v>1</v>
      </c>
      <c r="D35" s="9">
        <f>Metas!W35</f>
        <v>8</v>
      </c>
      <c r="E35" s="9">
        <f>Metas!AC35</f>
        <v>8</v>
      </c>
      <c r="F35" s="9">
        <f>Metas!AI35</f>
        <v>8</v>
      </c>
      <c r="J35" s="59" t="str">
        <f t="shared" si="0"/>
        <v>Azul</v>
      </c>
      <c r="K35" s="75" t="s">
        <v>453</v>
      </c>
      <c r="L35">
        <f t="shared" si="9"/>
        <v>1</v>
      </c>
      <c r="M35">
        <f t="shared" si="13"/>
        <v>0</v>
      </c>
      <c r="N35">
        <f t="shared" si="14"/>
        <v>1</v>
      </c>
      <c r="O35">
        <f t="shared" si="15"/>
        <v>7</v>
      </c>
      <c r="P35">
        <f t="shared" si="34"/>
        <v>9</v>
      </c>
      <c r="Q35" s="85">
        <f t="shared" si="36"/>
        <v>0.88888888888888884</v>
      </c>
      <c r="S35" s="59" t="str">
        <f t="shared" si="2"/>
        <v>Azul</v>
      </c>
      <c r="T35" s="75" t="s">
        <v>453</v>
      </c>
      <c r="U35">
        <f t="shared" si="16"/>
        <v>1</v>
      </c>
      <c r="V35">
        <f t="shared" si="17"/>
        <v>0</v>
      </c>
      <c r="W35">
        <f t="shared" si="18"/>
        <v>0</v>
      </c>
      <c r="X35">
        <f t="shared" si="19"/>
        <v>8</v>
      </c>
      <c r="Y35">
        <f t="shared" si="29"/>
        <v>9</v>
      </c>
      <c r="Z35" s="85">
        <f t="shared" si="30"/>
        <v>0.88888888888888884</v>
      </c>
      <c r="AB35" s="59" t="str">
        <f t="shared" si="3"/>
        <v>Azul</v>
      </c>
      <c r="AC35" s="75" t="s">
        <v>453</v>
      </c>
      <c r="AD35">
        <f t="shared" si="20"/>
        <v>1</v>
      </c>
      <c r="AE35">
        <f t="shared" si="21"/>
        <v>0</v>
      </c>
      <c r="AF35">
        <f t="shared" si="22"/>
        <v>0</v>
      </c>
      <c r="AG35">
        <f t="shared" si="23"/>
        <v>8</v>
      </c>
      <c r="AH35">
        <f t="shared" si="31"/>
        <v>9</v>
      </c>
      <c r="AI35" s="85">
        <f t="shared" si="32"/>
        <v>0.88888888888888884</v>
      </c>
      <c r="AK35" s="59" t="str">
        <f t="shared" si="6"/>
        <v>Azul</v>
      </c>
      <c r="AL35" s="75" t="s">
        <v>453</v>
      </c>
      <c r="AM35">
        <f t="shared" si="24"/>
        <v>1</v>
      </c>
      <c r="AN35">
        <f t="shared" si="25"/>
        <v>0</v>
      </c>
      <c r="AO35">
        <f t="shared" si="26"/>
        <v>1</v>
      </c>
      <c r="AP35">
        <f t="shared" si="27"/>
        <v>7</v>
      </c>
      <c r="AQ35">
        <f t="shared" si="33"/>
        <v>9</v>
      </c>
      <c r="AR35" s="85">
        <f t="shared" si="8"/>
        <v>0.88888888888888884</v>
      </c>
    </row>
    <row r="36" spans="1:44" x14ac:dyDescent="0.25">
      <c r="A36" t="str">
        <f>Metas!$A$34</f>
        <v>SI-PY1</v>
      </c>
      <c r="B36" t="str">
        <f>Metas!B36</f>
        <v>SI-PY1.3</v>
      </c>
      <c r="C36" s="123">
        <f>Metas!R36</f>
        <v>1</v>
      </c>
      <c r="D36" s="9">
        <f>Metas!W36</f>
        <v>17</v>
      </c>
      <c r="E36" s="9">
        <f>Metas!AC36</f>
        <v>24</v>
      </c>
      <c r="F36" s="9">
        <f>Metas!AI36</f>
        <v>24</v>
      </c>
      <c r="J36" s="59" t="str">
        <f t="shared" si="0"/>
        <v>Azul</v>
      </c>
      <c r="K36" s="75" t="s">
        <v>472</v>
      </c>
      <c r="L36">
        <f t="shared" si="9"/>
        <v>0</v>
      </c>
      <c r="M36">
        <f t="shared" si="13"/>
        <v>0</v>
      </c>
      <c r="N36">
        <f t="shared" si="14"/>
        <v>0</v>
      </c>
      <c r="O36">
        <f t="shared" si="15"/>
        <v>5</v>
      </c>
      <c r="P36">
        <f t="shared" si="34"/>
        <v>5</v>
      </c>
      <c r="Q36" s="85">
        <f t="shared" si="36"/>
        <v>1</v>
      </c>
      <c r="S36" s="59" t="str">
        <f t="shared" si="2"/>
        <v>Azul</v>
      </c>
      <c r="T36" s="75" t="s">
        <v>472</v>
      </c>
      <c r="U36">
        <f t="shared" si="16"/>
        <v>2</v>
      </c>
      <c r="V36">
        <f t="shared" si="17"/>
        <v>0</v>
      </c>
      <c r="W36">
        <f t="shared" si="18"/>
        <v>0</v>
      </c>
      <c r="X36">
        <f t="shared" si="19"/>
        <v>3</v>
      </c>
      <c r="Y36">
        <f t="shared" si="29"/>
        <v>5</v>
      </c>
      <c r="Z36" s="85">
        <f t="shared" si="30"/>
        <v>0.6</v>
      </c>
      <c r="AB36" s="59" t="str">
        <f t="shared" si="3"/>
        <v>Azul</v>
      </c>
      <c r="AC36" s="75" t="s">
        <v>472</v>
      </c>
      <c r="AD36">
        <f t="shared" si="20"/>
        <v>2</v>
      </c>
      <c r="AE36">
        <f t="shared" si="21"/>
        <v>0</v>
      </c>
      <c r="AF36">
        <f t="shared" si="22"/>
        <v>0</v>
      </c>
      <c r="AG36">
        <f t="shared" si="23"/>
        <v>3</v>
      </c>
      <c r="AH36">
        <f t="shared" si="31"/>
        <v>5</v>
      </c>
      <c r="AI36" s="85">
        <f t="shared" si="32"/>
        <v>0.6</v>
      </c>
      <c r="AK36" s="59" t="str">
        <f t="shared" si="6"/>
        <v>Azul</v>
      </c>
      <c r="AL36" s="75" t="s">
        <v>472</v>
      </c>
      <c r="AM36">
        <f t="shared" si="24"/>
        <v>2</v>
      </c>
      <c r="AN36">
        <f t="shared" si="25"/>
        <v>0</v>
      </c>
      <c r="AO36">
        <f t="shared" si="26"/>
        <v>0</v>
      </c>
      <c r="AP36">
        <f t="shared" si="27"/>
        <v>3</v>
      </c>
      <c r="AQ36">
        <f t="shared" si="33"/>
        <v>5</v>
      </c>
      <c r="AR36" s="85">
        <f t="shared" si="8"/>
        <v>0.6</v>
      </c>
    </row>
    <row r="37" spans="1:44" x14ac:dyDescent="0.25">
      <c r="A37" t="str">
        <f>Metas!$A$34</f>
        <v>SI-PY1</v>
      </c>
      <c r="B37" t="str">
        <f>Metas!B37</f>
        <v>SI-PY1.4</v>
      </c>
      <c r="C37" s="123">
        <f>Metas!R37</f>
        <v>1</v>
      </c>
      <c r="D37" s="9">
        <f>Metas!W37</f>
        <v>0.60000000000000009</v>
      </c>
      <c r="E37" s="9">
        <f>Metas!AC37</f>
        <v>0.75000000000000011</v>
      </c>
      <c r="F37" s="9">
        <f>Metas!AI37</f>
        <v>0.75000000000000011</v>
      </c>
      <c r="J37" s="59" t="str">
        <f t="shared" si="0"/>
        <v>Azul</v>
      </c>
      <c r="K37" s="75" t="s">
        <v>500</v>
      </c>
      <c r="L37">
        <f t="shared" si="9"/>
        <v>0</v>
      </c>
      <c r="M37">
        <f t="shared" si="13"/>
        <v>0</v>
      </c>
      <c r="N37">
        <f t="shared" si="14"/>
        <v>0</v>
      </c>
      <c r="O37">
        <f t="shared" si="15"/>
        <v>0</v>
      </c>
      <c r="P37">
        <f t="shared" si="34"/>
        <v>0</v>
      </c>
      <c r="Q37" s="85">
        <f t="shared" si="36"/>
        <v>0</v>
      </c>
      <c r="S37" s="59" t="str">
        <f t="shared" si="2"/>
        <v>Azul</v>
      </c>
      <c r="T37" s="75" t="s">
        <v>500</v>
      </c>
      <c r="U37">
        <f t="shared" si="16"/>
        <v>0</v>
      </c>
      <c r="V37">
        <f t="shared" si="17"/>
        <v>0</v>
      </c>
      <c r="W37">
        <f t="shared" si="18"/>
        <v>0</v>
      </c>
      <c r="X37">
        <f t="shared" si="19"/>
        <v>0</v>
      </c>
      <c r="Y37">
        <f t="shared" si="29"/>
        <v>0</v>
      </c>
      <c r="Z37" s="85">
        <f t="shared" si="30"/>
        <v>0</v>
      </c>
      <c r="AB37" s="59" t="str">
        <f t="shared" si="3"/>
        <v>Azul</v>
      </c>
      <c r="AC37" s="75" t="s">
        <v>500</v>
      </c>
      <c r="AD37">
        <f t="shared" si="20"/>
        <v>0</v>
      </c>
      <c r="AE37">
        <f t="shared" si="21"/>
        <v>0</v>
      </c>
      <c r="AF37">
        <f t="shared" si="22"/>
        <v>0</v>
      </c>
      <c r="AG37">
        <f t="shared" si="23"/>
        <v>0</v>
      </c>
      <c r="AH37">
        <f t="shared" si="31"/>
        <v>0</v>
      </c>
      <c r="AI37" s="85">
        <f t="shared" si="32"/>
        <v>0</v>
      </c>
      <c r="AK37" s="59" t="str">
        <f t="shared" si="6"/>
        <v>Amarillo</v>
      </c>
      <c r="AL37" s="75" t="s">
        <v>500</v>
      </c>
      <c r="AM37">
        <f t="shared" si="24"/>
        <v>0</v>
      </c>
      <c r="AN37">
        <f t="shared" si="25"/>
        <v>0</v>
      </c>
      <c r="AO37">
        <f t="shared" si="26"/>
        <v>0</v>
      </c>
      <c r="AP37">
        <f t="shared" si="27"/>
        <v>0</v>
      </c>
      <c r="AQ37">
        <f t="shared" si="33"/>
        <v>0</v>
      </c>
      <c r="AR37" s="85">
        <f t="shared" si="8"/>
        <v>0</v>
      </c>
    </row>
    <row r="38" spans="1:44" x14ac:dyDescent="0.25">
      <c r="A38" t="str">
        <f>Metas!$A$34</f>
        <v>SI-PY1</v>
      </c>
      <c r="B38" t="str">
        <f>Metas!B38</f>
        <v>SI-PY1.5</v>
      </c>
      <c r="C38" s="123">
        <f>Metas!R38</f>
        <v>0.4</v>
      </c>
      <c r="D38" s="9">
        <f>Metas!W38</f>
        <v>10</v>
      </c>
      <c r="E38" s="9">
        <f>Metas!AC38</f>
        <v>12</v>
      </c>
      <c r="F38" s="9">
        <f>Metas!AI38</f>
        <v>12</v>
      </c>
      <c r="J38" s="59" t="str">
        <f t="shared" si="0"/>
        <v>Azul</v>
      </c>
      <c r="K38" s="75" t="s">
        <v>483</v>
      </c>
      <c r="L38">
        <f t="shared" si="9"/>
        <v>0</v>
      </c>
      <c r="M38">
        <f t="shared" si="13"/>
        <v>0</v>
      </c>
      <c r="N38">
        <f t="shared" si="14"/>
        <v>0</v>
      </c>
      <c r="O38">
        <f t="shared" si="15"/>
        <v>1</v>
      </c>
      <c r="P38">
        <f t="shared" si="34"/>
        <v>1</v>
      </c>
      <c r="Q38" s="85">
        <f t="shared" si="36"/>
        <v>1</v>
      </c>
      <c r="S38" s="59" t="str">
        <f t="shared" si="2"/>
        <v>Azul</v>
      </c>
      <c r="T38" s="75" t="s">
        <v>483</v>
      </c>
      <c r="U38">
        <f t="shared" si="16"/>
        <v>1</v>
      </c>
      <c r="V38">
        <f t="shared" si="17"/>
        <v>0</v>
      </c>
      <c r="W38">
        <f t="shared" si="18"/>
        <v>0</v>
      </c>
      <c r="X38">
        <f t="shared" si="19"/>
        <v>0</v>
      </c>
      <c r="Y38">
        <f t="shared" si="29"/>
        <v>1</v>
      </c>
      <c r="Z38" s="85">
        <f t="shared" si="30"/>
        <v>0</v>
      </c>
      <c r="AB38" s="59" t="str">
        <f t="shared" si="3"/>
        <v>Azul</v>
      </c>
      <c r="AC38" s="75" t="s">
        <v>483</v>
      </c>
      <c r="AD38">
        <f t="shared" si="20"/>
        <v>1</v>
      </c>
      <c r="AE38">
        <f t="shared" si="21"/>
        <v>0</v>
      </c>
      <c r="AF38">
        <f t="shared" si="22"/>
        <v>0</v>
      </c>
      <c r="AG38">
        <f t="shared" si="23"/>
        <v>0</v>
      </c>
      <c r="AH38">
        <f t="shared" si="31"/>
        <v>1</v>
      </c>
      <c r="AI38" s="85">
        <f t="shared" si="32"/>
        <v>0</v>
      </c>
      <c r="AK38" s="59" t="str">
        <f t="shared" si="6"/>
        <v>Azul</v>
      </c>
      <c r="AL38" s="75" t="s">
        <v>483</v>
      </c>
      <c r="AM38">
        <f t="shared" si="24"/>
        <v>1</v>
      </c>
      <c r="AN38">
        <f t="shared" si="25"/>
        <v>0</v>
      </c>
      <c r="AO38">
        <f t="shared" si="26"/>
        <v>0</v>
      </c>
      <c r="AP38">
        <f t="shared" si="27"/>
        <v>0</v>
      </c>
      <c r="AQ38">
        <f t="shared" si="33"/>
        <v>1</v>
      </c>
      <c r="AR38" s="85">
        <f t="shared" si="8"/>
        <v>0</v>
      </c>
    </row>
    <row r="39" spans="1:44" x14ac:dyDescent="0.25">
      <c r="A39" t="str">
        <f>Metas!$A$34</f>
        <v>SI-PY1</v>
      </c>
      <c r="B39" t="str">
        <f>Metas!B39</f>
        <v>SI-PY1.6</v>
      </c>
      <c r="C39" s="123">
        <f>Metas!R39</f>
        <v>1</v>
      </c>
      <c r="D39" s="9">
        <f>Metas!W39</f>
        <v>0.5</v>
      </c>
      <c r="E39" s="9">
        <f>Metas!AC39</f>
        <v>0.49999999999999994</v>
      </c>
      <c r="F39" s="9">
        <f>Metas!AI39</f>
        <v>0.49999999999999994</v>
      </c>
      <c r="J39" s="59" t="str">
        <f t="shared" si="0"/>
        <v>Azul</v>
      </c>
      <c r="K39" s="75" t="s">
        <v>501</v>
      </c>
      <c r="L39">
        <f t="shared" si="9"/>
        <v>0</v>
      </c>
      <c r="M39">
        <f t="shared" si="13"/>
        <v>0</v>
      </c>
      <c r="N39">
        <f t="shared" si="14"/>
        <v>0</v>
      </c>
      <c r="O39">
        <f t="shared" si="15"/>
        <v>0</v>
      </c>
      <c r="P39">
        <f t="shared" si="34"/>
        <v>0</v>
      </c>
      <c r="Q39" s="85">
        <f t="shared" si="36"/>
        <v>0</v>
      </c>
      <c r="S39" s="59" t="str">
        <f t="shared" si="2"/>
        <v>Azul</v>
      </c>
      <c r="T39" s="75" t="s">
        <v>501</v>
      </c>
      <c r="U39">
        <f t="shared" si="16"/>
        <v>0</v>
      </c>
      <c r="V39">
        <f t="shared" si="17"/>
        <v>0</v>
      </c>
      <c r="W39">
        <f t="shared" si="18"/>
        <v>0</v>
      </c>
      <c r="X39">
        <f t="shared" si="19"/>
        <v>0</v>
      </c>
      <c r="Y39">
        <f t="shared" si="29"/>
        <v>0</v>
      </c>
      <c r="Z39" s="85">
        <f t="shared" si="30"/>
        <v>0</v>
      </c>
      <c r="AB39" s="59" t="str">
        <f t="shared" si="3"/>
        <v>Amarillo</v>
      </c>
      <c r="AC39" s="75" t="s">
        <v>501</v>
      </c>
      <c r="AD39">
        <f t="shared" si="20"/>
        <v>0</v>
      </c>
      <c r="AE39">
        <f t="shared" si="21"/>
        <v>0</v>
      </c>
      <c r="AF39">
        <f t="shared" si="22"/>
        <v>0</v>
      </c>
      <c r="AG39">
        <f t="shared" si="23"/>
        <v>0</v>
      </c>
      <c r="AH39">
        <f t="shared" si="31"/>
        <v>0</v>
      </c>
      <c r="AI39" s="85">
        <f t="shared" si="32"/>
        <v>0</v>
      </c>
      <c r="AK39" s="59" t="str">
        <f t="shared" si="6"/>
        <v>Amarillo</v>
      </c>
      <c r="AL39" s="75" t="s">
        <v>501</v>
      </c>
      <c r="AM39">
        <f t="shared" si="24"/>
        <v>0</v>
      </c>
      <c r="AN39">
        <f t="shared" si="25"/>
        <v>0</v>
      </c>
      <c r="AO39">
        <f t="shared" si="26"/>
        <v>0</v>
      </c>
      <c r="AP39">
        <f t="shared" si="27"/>
        <v>0</v>
      </c>
      <c r="AQ39">
        <f t="shared" si="33"/>
        <v>0</v>
      </c>
      <c r="AR39" s="85">
        <f t="shared" si="8"/>
        <v>0</v>
      </c>
    </row>
    <row r="40" spans="1:44" x14ac:dyDescent="0.25">
      <c r="A40" t="str">
        <f>Metas!$A$34</f>
        <v>SI-PY1</v>
      </c>
      <c r="B40" t="str">
        <f>Metas!B41</f>
        <v>SI-PY1.8</v>
      </c>
      <c r="C40" s="123">
        <f>Metas!R41</f>
        <v>0.4</v>
      </c>
      <c r="D40" s="9">
        <f>Metas!W41</f>
        <v>1.2</v>
      </c>
      <c r="E40" s="9">
        <f>Metas!AC41</f>
        <v>2</v>
      </c>
      <c r="F40" s="9">
        <f>Metas!AI41</f>
        <v>2</v>
      </c>
      <c r="J40" s="59" t="str">
        <f t="shared" si="0"/>
        <v>Azul</v>
      </c>
      <c r="K40" s="75" t="s">
        <v>486</v>
      </c>
      <c r="L40">
        <f t="shared" si="9"/>
        <v>2</v>
      </c>
      <c r="M40">
        <f t="shared" si="13"/>
        <v>0</v>
      </c>
      <c r="N40">
        <f t="shared" si="14"/>
        <v>0</v>
      </c>
      <c r="O40">
        <f t="shared" si="15"/>
        <v>1</v>
      </c>
      <c r="P40">
        <f t="shared" si="34"/>
        <v>3</v>
      </c>
      <c r="Q40" s="85">
        <f t="shared" si="36"/>
        <v>0.33333333333333337</v>
      </c>
      <c r="S40" s="59" t="str">
        <f t="shared" si="2"/>
        <v>Azul</v>
      </c>
      <c r="T40" s="75" t="s">
        <v>486</v>
      </c>
      <c r="U40">
        <f t="shared" si="16"/>
        <v>2</v>
      </c>
      <c r="V40">
        <f t="shared" si="17"/>
        <v>0</v>
      </c>
      <c r="W40">
        <f t="shared" si="18"/>
        <v>0</v>
      </c>
      <c r="X40">
        <f t="shared" si="19"/>
        <v>1</v>
      </c>
      <c r="Y40">
        <f t="shared" si="29"/>
        <v>3</v>
      </c>
      <c r="Z40" s="85">
        <f t="shared" si="30"/>
        <v>0.33333333333333337</v>
      </c>
      <c r="AB40" s="59" t="str">
        <f t="shared" si="3"/>
        <v>Azul</v>
      </c>
      <c r="AC40" s="75" t="s">
        <v>486</v>
      </c>
      <c r="AD40">
        <f t="shared" si="20"/>
        <v>2</v>
      </c>
      <c r="AE40">
        <f t="shared" si="21"/>
        <v>0</v>
      </c>
      <c r="AF40">
        <f t="shared" si="22"/>
        <v>0</v>
      </c>
      <c r="AG40">
        <f t="shared" si="23"/>
        <v>1</v>
      </c>
      <c r="AH40">
        <f t="shared" si="31"/>
        <v>3</v>
      </c>
      <c r="AI40" s="85">
        <f t="shared" si="32"/>
        <v>0.33333333333333337</v>
      </c>
      <c r="AK40" s="59" t="str">
        <f t="shared" si="6"/>
        <v>Azul</v>
      </c>
      <c r="AL40" s="75" t="s">
        <v>486</v>
      </c>
      <c r="AM40">
        <f t="shared" si="24"/>
        <v>2</v>
      </c>
      <c r="AN40">
        <f t="shared" si="25"/>
        <v>0</v>
      </c>
      <c r="AO40">
        <f t="shared" si="26"/>
        <v>0</v>
      </c>
      <c r="AP40">
        <f t="shared" si="27"/>
        <v>1</v>
      </c>
      <c r="AQ40">
        <f t="shared" si="33"/>
        <v>3</v>
      </c>
      <c r="AR40" s="85">
        <f t="shared" si="8"/>
        <v>0.33333333333333337</v>
      </c>
    </row>
    <row r="41" spans="1:44" x14ac:dyDescent="0.25">
      <c r="A41" t="str">
        <f>Metas!$A$42</f>
        <v>SI-PY2</v>
      </c>
      <c r="B41" t="str">
        <f>Metas!B42</f>
        <v>SI-PY2.1</v>
      </c>
      <c r="C41" s="123">
        <f>Metas!R42</f>
        <v>1</v>
      </c>
      <c r="D41" s="9">
        <f>Metas!W42</f>
        <v>6</v>
      </c>
      <c r="E41" s="9">
        <f>Metas!AC42</f>
        <v>5</v>
      </c>
      <c r="F41" s="9">
        <f>Metas!AI42</f>
        <v>5</v>
      </c>
      <c r="J41" s="59" t="str">
        <f t="shared" si="0"/>
        <v>Azul</v>
      </c>
      <c r="S41" s="59" t="str">
        <f t="shared" si="2"/>
        <v>Azul</v>
      </c>
      <c r="AB41" s="59" t="str">
        <f t="shared" si="3"/>
        <v>Azul</v>
      </c>
      <c r="AK41" s="59" t="str">
        <f t="shared" si="6"/>
        <v>Azul</v>
      </c>
    </row>
    <row r="42" spans="1:44" x14ac:dyDescent="0.25">
      <c r="A42" t="str">
        <f>Metas!$A$42</f>
        <v>SI-PY2</v>
      </c>
      <c r="B42" t="str">
        <f>Metas!B43</f>
        <v>SI-PY2.2</v>
      </c>
      <c r="C42" s="123">
        <f>Metas!R43</f>
        <v>1</v>
      </c>
      <c r="D42" s="9">
        <f>Metas!W43</f>
        <v>4</v>
      </c>
      <c r="E42" s="9">
        <f>Metas!AC43</f>
        <v>39</v>
      </c>
      <c r="F42" s="9">
        <f>Metas!AI43</f>
        <v>39</v>
      </c>
      <c r="J42" s="59" t="str">
        <f t="shared" si="0"/>
        <v>Azul</v>
      </c>
      <c r="S42" s="59" t="str">
        <f t="shared" si="2"/>
        <v>Azul</v>
      </c>
      <c r="AB42" s="59" t="str">
        <f t="shared" si="3"/>
        <v>Azul</v>
      </c>
      <c r="AK42" s="59" t="str">
        <f t="shared" si="6"/>
        <v>Azul</v>
      </c>
    </row>
    <row r="43" spans="1:44" x14ac:dyDescent="0.25">
      <c r="A43" t="str">
        <f>Metas!$A$42</f>
        <v>SI-PY2</v>
      </c>
      <c r="B43" t="str">
        <f>Metas!B44</f>
        <v>SI-PY2.3</v>
      </c>
      <c r="C43" s="123">
        <f>Metas!R44</f>
        <v>1</v>
      </c>
      <c r="D43" s="9">
        <f>Metas!W44</f>
        <v>18</v>
      </c>
      <c r="E43" s="9">
        <f>Metas!AC44</f>
        <v>26</v>
      </c>
      <c r="F43" s="9">
        <f>Metas!AI44</f>
        <v>26</v>
      </c>
      <c r="J43" s="59" t="str">
        <f t="shared" si="0"/>
        <v>Azul</v>
      </c>
      <c r="S43" s="59" t="str">
        <f t="shared" si="2"/>
        <v>Azul</v>
      </c>
      <c r="AB43" s="59" t="str">
        <f t="shared" si="3"/>
        <v>Azul</v>
      </c>
      <c r="AK43" s="59" t="str">
        <f t="shared" si="6"/>
        <v>Azul</v>
      </c>
    </row>
    <row r="44" spans="1:44" x14ac:dyDescent="0.25">
      <c r="A44" t="str">
        <f>Metas!$A$42</f>
        <v>SI-PY2</v>
      </c>
      <c r="B44" t="str">
        <f>Metas!B45</f>
        <v>SI-PY2.4</v>
      </c>
      <c r="C44" s="123">
        <f>Metas!R45</f>
        <v>0.33333333333333331</v>
      </c>
      <c r="D44" s="9">
        <f>Metas!W45</f>
        <v>2</v>
      </c>
      <c r="E44" s="9">
        <f>Metas!AC45</f>
        <v>2</v>
      </c>
      <c r="F44" s="9">
        <f>Metas!AI45</f>
        <v>2</v>
      </c>
      <c r="J44" s="59" t="str">
        <f t="shared" si="0"/>
        <v>Azul</v>
      </c>
      <c r="S44" s="59" t="str">
        <f t="shared" si="2"/>
        <v>Azul</v>
      </c>
      <c r="AB44" s="59" t="str">
        <f t="shared" si="3"/>
        <v>Azul</v>
      </c>
      <c r="AK44" s="59" t="str">
        <f t="shared" si="6"/>
        <v>Azul</v>
      </c>
    </row>
    <row r="45" spans="1:44" x14ac:dyDescent="0.25">
      <c r="A45" t="str">
        <f>Metas!$A$42</f>
        <v>SI-PY2</v>
      </c>
      <c r="B45" t="str">
        <f>Metas!B46</f>
        <v>SI-PY2.5</v>
      </c>
      <c r="C45" s="123">
        <f>Metas!R46</f>
        <v>1</v>
      </c>
      <c r="D45" s="9">
        <f>Metas!W46</f>
        <v>3</v>
      </c>
      <c r="E45" s="9">
        <f>Metas!AC46</f>
        <v>3</v>
      </c>
      <c r="F45" s="9">
        <f>Metas!AI46</f>
        <v>3</v>
      </c>
      <c r="J45" s="59" t="str">
        <f t="shared" si="0"/>
        <v>Azul</v>
      </c>
      <c r="S45" s="59" t="str">
        <f t="shared" si="2"/>
        <v>Azul</v>
      </c>
      <c r="AB45" s="59" t="str">
        <f t="shared" si="3"/>
        <v>Azul</v>
      </c>
      <c r="AK45" s="59" t="str">
        <f t="shared" si="6"/>
        <v>Azul</v>
      </c>
    </row>
    <row r="46" spans="1:44" x14ac:dyDescent="0.25">
      <c r="A46" t="str">
        <f>Metas!$A$42</f>
        <v>SI-PY2</v>
      </c>
      <c r="B46" t="str">
        <f>Metas!B47</f>
        <v>SI-PY2.6</v>
      </c>
      <c r="C46" s="123">
        <f>Metas!R47</f>
        <v>1</v>
      </c>
      <c r="D46" s="9">
        <f>Metas!W47</f>
        <v>1.4000000000000001</v>
      </c>
      <c r="E46" s="9">
        <f>Metas!AC47</f>
        <v>0.20000000000000004</v>
      </c>
      <c r="F46" s="9">
        <f>Metas!AI47</f>
        <v>0.20000000000000004</v>
      </c>
      <c r="J46" s="59" t="str">
        <f t="shared" si="0"/>
        <v>Azul</v>
      </c>
      <c r="S46" s="59" t="str">
        <f t="shared" si="2"/>
        <v>Azul</v>
      </c>
      <c r="AB46" s="59" t="str">
        <f t="shared" si="3"/>
        <v>Rojo</v>
      </c>
      <c r="AK46" s="59" t="str">
        <f t="shared" si="6"/>
        <v>Rojo</v>
      </c>
    </row>
    <row r="47" spans="1:44" x14ac:dyDescent="0.25">
      <c r="A47" t="str">
        <f>Metas!$A$42</f>
        <v>SI-PY2</v>
      </c>
      <c r="B47" t="str">
        <f>Metas!B48</f>
        <v>SI-PY2.7</v>
      </c>
      <c r="C47" s="123">
        <f>Metas!R48</f>
        <v>0.34285714285714286</v>
      </c>
      <c r="D47" s="9">
        <f>Metas!W48</f>
        <v>8</v>
      </c>
      <c r="E47" s="9">
        <f>Metas!AC48</f>
        <v>12</v>
      </c>
      <c r="F47" s="9">
        <f>Metas!AI48</f>
        <v>12</v>
      </c>
      <c r="J47" s="59" t="str">
        <f t="shared" si="0"/>
        <v>Azul</v>
      </c>
      <c r="S47" s="59" t="str">
        <f t="shared" si="2"/>
        <v>Azul</v>
      </c>
      <c r="AB47" s="59" t="str">
        <f t="shared" si="3"/>
        <v>Azul</v>
      </c>
      <c r="AK47" s="59" t="str">
        <f t="shared" si="6"/>
        <v>Azul</v>
      </c>
    </row>
    <row r="48" spans="1:44" x14ac:dyDescent="0.25">
      <c r="A48" t="str">
        <f>Metas!$A$49</f>
        <v>SI-PY3</v>
      </c>
      <c r="B48" t="str">
        <f>Metas!B49</f>
        <v>SI-PY3.1</v>
      </c>
      <c r="C48" s="123">
        <f>Metas!R49</f>
        <v>0.53333333333333333</v>
      </c>
      <c r="D48" s="9">
        <f>Metas!W49</f>
        <v>13</v>
      </c>
      <c r="E48" s="9">
        <f>Metas!AC49</f>
        <v>14</v>
      </c>
      <c r="F48" s="9">
        <f>Metas!AI49</f>
        <v>14</v>
      </c>
      <c r="J48" s="59" t="str">
        <f t="shared" si="0"/>
        <v>Azul</v>
      </c>
      <c r="S48" s="59" t="str">
        <f t="shared" si="2"/>
        <v>Azul</v>
      </c>
      <c r="AB48" s="59" t="str">
        <f t="shared" si="3"/>
        <v>Azul</v>
      </c>
      <c r="AK48" s="59" t="str">
        <f t="shared" si="6"/>
        <v>Azul</v>
      </c>
    </row>
    <row r="49" spans="1:37" x14ac:dyDescent="0.25">
      <c r="A49" t="str">
        <f>Metas!$A$49</f>
        <v>SI-PY3</v>
      </c>
      <c r="B49" t="str">
        <f>Metas!B50</f>
        <v>SI-PY3.2</v>
      </c>
      <c r="C49" s="123">
        <f>Metas!R50</f>
        <v>0.26666666666666666</v>
      </c>
      <c r="D49" s="9">
        <f>Metas!W50</f>
        <v>24</v>
      </c>
      <c r="E49" s="9">
        <f>Metas!AC50</f>
        <v>41</v>
      </c>
      <c r="F49" s="9">
        <f>Metas!AI50</f>
        <v>41</v>
      </c>
      <c r="J49" s="59" t="str">
        <f t="shared" si="0"/>
        <v>Azul</v>
      </c>
      <c r="S49" s="59" t="str">
        <f t="shared" si="2"/>
        <v>Azul</v>
      </c>
      <c r="AB49" s="59" t="str">
        <f t="shared" si="3"/>
        <v>Azul</v>
      </c>
      <c r="AK49" s="59" t="str">
        <f t="shared" si="6"/>
        <v>Azul</v>
      </c>
    </row>
    <row r="50" spans="1:37" x14ac:dyDescent="0.25">
      <c r="A50" t="str">
        <f>Metas!$A$49</f>
        <v>SI-PY3</v>
      </c>
      <c r="B50" t="str">
        <f>Metas!B51</f>
        <v>SI-PY3.3</v>
      </c>
      <c r="C50" s="123">
        <f>Metas!R51</f>
        <v>1</v>
      </c>
      <c r="D50" s="9">
        <f>Metas!W51</f>
        <v>3</v>
      </c>
      <c r="E50" s="9">
        <f>Metas!AC51</f>
        <v>3</v>
      </c>
      <c r="F50" s="9">
        <f>Metas!AI51</f>
        <v>3</v>
      </c>
      <c r="J50" s="59" t="str">
        <f t="shared" si="0"/>
        <v>Azul</v>
      </c>
      <c r="S50" s="59" t="str">
        <f t="shared" si="2"/>
        <v>Azul</v>
      </c>
      <c r="AB50" s="59" t="str">
        <f t="shared" si="3"/>
        <v>Azul</v>
      </c>
      <c r="AK50" s="59" t="str">
        <f t="shared" si="6"/>
        <v>Azul</v>
      </c>
    </row>
    <row r="51" spans="1:37" x14ac:dyDescent="0.25">
      <c r="A51" t="str">
        <f>Metas!$A$49</f>
        <v>SI-PY3</v>
      </c>
      <c r="B51" t="str">
        <f>Metas!B53</f>
        <v>SI-PY3.5</v>
      </c>
      <c r="C51" s="123">
        <f>Metas!R53</f>
        <v>1</v>
      </c>
      <c r="D51" s="9">
        <f>Metas!W53</f>
        <v>2</v>
      </c>
      <c r="E51" s="9">
        <f>Metas!AC53</f>
        <v>3</v>
      </c>
      <c r="F51" s="9">
        <f>Metas!AI53</f>
        <v>3</v>
      </c>
      <c r="J51" s="59" t="str">
        <f t="shared" si="0"/>
        <v>Azul</v>
      </c>
      <c r="S51" s="59" t="str">
        <f t="shared" si="2"/>
        <v>Azul</v>
      </c>
      <c r="AB51" s="59" t="str">
        <f t="shared" si="3"/>
        <v>Azul</v>
      </c>
      <c r="AK51" s="59" t="str">
        <f t="shared" si="6"/>
        <v>Azul</v>
      </c>
    </row>
    <row r="52" spans="1:37" x14ac:dyDescent="0.25">
      <c r="A52" t="str">
        <f>Metas!A54</f>
        <v>SI-PY4</v>
      </c>
      <c r="B52" t="str">
        <f>Metas!B54</f>
        <v>SI-PY4.1</v>
      </c>
      <c r="C52" s="123">
        <f>Metas!R54</f>
        <v>0.30769230769230771</v>
      </c>
      <c r="D52" s="9">
        <f>Metas!W54</f>
        <v>11</v>
      </c>
      <c r="E52" s="9">
        <f>Metas!AC54</f>
        <v>12</v>
      </c>
      <c r="F52" s="9">
        <f>Metas!AI54</f>
        <v>12</v>
      </c>
      <c r="J52" s="59" t="str">
        <f t="shared" si="0"/>
        <v>Azul</v>
      </c>
      <c r="S52" s="59" t="str">
        <f t="shared" si="2"/>
        <v>Azul</v>
      </c>
      <c r="AB52" s="59" t="str">
        <f t="shared" si="3"/>
        <v>Azul</v>
      </c>
      <c r="AK52" s="59" t="str">
        <f t="shared" si="6"/>
        <v>Azul</v>
      </c>
    </row>
    <row r="53" spans="1:37" x14ac:dyDescent="0.25">
      <c r="A53" t="str">
        <f>Metas!$A$55</f>
        <v>SI-PY5</v>
      </c>
      <c r="B53" t="str">
        <f>Metas!B55</f>
        <v>SI-PY5.1</v>
      </c>
      <c r="C53" s="123">
        <f>Metas!R55</f>
        <v>1</v>
      </c>
      <c r="D53" s="9">
        <f>Metas!W55</f>
        <v>13</v>
      </c>
      <c r="E53" s="9">
        <f>Metas!AC55</f>
        <v>14</v>
      </c>
      <c r="F53" s="9">
        <f>Metas!AI55</f>
        <v>14</v>
      </c>
      <c r="J53" s="59" t="str">
        <f t="shared" si="0"/>
        <v>Azul</v>
      </c>
      <c r="S53" s="59" t="str">
        <f t="shared" si="2"/>
        <v>Azul</v>
      </c>
      <c r="AB53" s="59" t="str">
        <f t="shared" si="3"/>
        <v>Azul</v>
      </c>
      <c r="AK53" s="59" t="str">
        <f t="shared" si="6"/>
        <v>Azul</v>
      </c>
    </row>
    <row r="54" spans="1:37" x14ac:dyDescent="0.25">
      <c r="A54" t="str">
        <f>Metas!$A$55</f>
        <v>SI-PY5</v>
      </c>
      <c r="B54" t="str">
        <f>Metas!B56</f>
        <v>SI-PY5.2</v>
      </c>
      <c r="C54" s="123">
        <f>Metas!R56</f>
        <v>0.04</v>
      </c>
      <c r="D54" s="9">
        <f>Metas!W56</f>
        <v>2</v>
      </c>
      <c r="E54" s="9">
        <f>Metas!AC56</f>
        <v>2</v>
      </c>
      <c r="F54" s="9">
        <f>Metas!AI56</f>
        <v>2</v>
      </c>
      <c r="J54" s="59" t="str">
        <f t="shared" si="0"/>
        <v>Rojo</v>
      </c>
      <c r="S54" s="59" t="str">
        <f t="shared" si="2"/>
        <v>Azul</v>
      </c>
      <c r="AB54" s="59" t="str">
        <f t="shared" si="3"/>
        <v>Azul</v>
      </c>
      <c r="AK54" s="59" t="str">
        <f t="shared" si="6"/>
        <v>Azul</v>
      </c>
    </row>
    <row r="55" spans="1:37" x14ac:dyDescent="0.25">
      <c r="A55" t="str">
        <f>Metas!$A$57</f>
        <v>SI-PY6</v>
      </c>
      <c r="B55" t="str">
        <f>Metas!B57</f>
        <v>SI-PY6.1</v>
      </c>
      <c r="C55" s="123">
        <f>Metas!R57</f>
        <v>1</v>
      </c>
      <c r="D55" s="9">
        <f>Metas!W57</f>
        <v>3</v>
      </c>
      <c r="E55" s="9">
        <f>Metas!AC57</f>
        <v>5</v>
      </c>
      <c r="F55" s="9">
        <f>Metas!AI57</f>
        <v>5</v>
      </c>
      <c r="J55" s="59" t="str">
        <f t="shared" si="0"/>
        <v>Azul</v>
      </c>
      <c r="S55" s="59" t="str">
        <f t="shared" si="2"/>
        <v>Azul</v>
      </c>
      <c r="AB55" s="59" t="str">
        <f t="shared" si="3"/>
        <v>Azul</v>
      </c>
      <c r="AK55" s="59" t="str">
        <f t="shared" si="6"/>
        <v>Azul</v>
      </c>
    </row>
    <row r="56" spans="1:37" x14ac:dyDescent="0.25">
      <c r="A56" t="str">
        <f>Metas!$A$57</f>
        <v>SI-PY6</v>
      </c>
      <c r="B56" t="str">
        <f>Metas!B58</f>
        <v>SI-PY6.2</v>
      </c>
      <c r="C56" s="123">
        <f>Metas!R58</f>
        <v>1</v>
      </c>
      <c r="D56" s="9">
        <f>Metas!W58</f>
        <v>0.5666666666666671</v>
      </c>
      <c r="E56" s="9">
        <f>Metas!AC58</f>
        <v>0.46666600000000003</v>
      </c>
      <c r="F56" s="9">
        <f>Metas!AI58</f>
        <v>0.46666600000000003</v>
      </c>
      <c r="J56" s="59" t="str">
        <f t="shared" si="0"/>
        <v>Azul</v>
      </c>
      <c r="S56" s="59" t="str">
        <f t="shared" si="2"/>
        <v>Azul</v>
      </c>
      <c r="AB56" s="59" t="str">
        <f t="shared" si="3"/>
        <v>Amarillo</v>
      </c>
      <c r="AK56" s="59" t="str">
        <f t="shared" si="6"/>
        <v>Amarillo</v>
      </c>
    </row>
    <row r="57" spans="1:37" x14ac:dyDescent="0.25">
      <c r="A57" t="str">
        <f>Metas!A59</f>
        <v>SI-PY7</v>
      </c>
      <c r="B57" t="str">
        <f>Metas!B59</f>
        <v>SI-PY7.1</v>
      </c>
      <c r="C57" s="123">
        <f>Metas!R59</f>
        <v>0.4</v>
      </c>
      <c r="D57" s="9">
        <f>Metas!W59</f>
        <v>0.70000000000000007</v>
      </c>
      <c r="E57" s="9">
        <f>Metas!AC59</f>
        <v>0.7</v>
      </c>
      <c r="F57" s="9">
        <f>Metas!AI59</f>
        <v>0.7</v>
      </c>
      <c r="J57" s="59" t="str">
        <f t="shared" si="0"/>
        <v>Azul</v>
      </c>
      <c r="S57" s="59" t="str">
        <f t="shared" si="2"/>
        <v>Azul</v>
      </c>
      <c r="AB57" s="59" t="str">
        <f t="shared" si="3"/>
        <v>Verde</v>
      </c>
      <c r="AK57" s="59" t="str">
        <f t="shared" si="6"/>
        <v>Amarillo</v>
      </c>
    </row>
    <row r="58" spans="1:37" x14ac:dyDescent="0.25">
      <c r="A58" t="str">
        <f>Metas!$A$60</f>
        <v>SI-PY8</v>
      </c>
      <c r="B58" t="str">
        <f>Metas!B60</f>
        <v>SI-PY8.1</v>
      </c>
      <c r="C58" s="123">
        <f>Metas!R60</f>
        <v>1</v>
      </c>
      <c r="D58" s="9">
        <f>Metas!W60</f>
        <v>3</v>
      </c>
      <c r="E58" s="9">
        <f>Metas!AC60</f>
        <v>3</v>
      </c>
      <c r="F58" s="9">
        <f>Metas!AI60</f>
        <v>3</v>
      </c>
      <c r="J58" s="59" t="str">
        <f t="shared" si="0"/>
        <v>Azul</v>
      </c>
      <c r="S58" s="59" t="str">
        <f t="shared" si="2"/>
        <v>Azul</v>
      </c>
      <c r="AB58" s="59" t="str">
        <f t="shared" si="3"/>
        <v>Azul</v>
      </c>
      <c r="AK58" s="59" t="str">
        <f t="shared" si="6"/>
        <v>Azul</v>
      </c>
    </row>
    <row r="59" spans="1:37" x14ac:dyDescent="0.25">
      <c r="A59" t="str">
        <f>Metas!$A$60</f>
        <v>SI-PY8</v>
      </c>
      <c r="B59" t="str">
        <f>Metas!B61</f>
        <v>SI-PY8.2</v>
      </c>
      <c r="C59" s="123">
        <f>Metas!R61</f>
        <v>0.04</v>
      </c>
      <c r="D59" s="9">
        <f>Metas!W61</f>
        <v>2</v>
      </c>
      <c r="E59" s="9">
        <f>Metas!AC61</f>
        <v>3</v>
      </c>
      <c r="F59" s="9">
        <f>Metas!AI61</f>
        <v>3</v>
      </c>
      <c r="J59" s="59" t="str">
        <f t="shared" si="0"/>
        <v>Rojo</v>
      </c>
      <c r="S59" s="59" t="str">
        <f t="shared" si="2"/>
        <v>Azul</v>
      </c>
      <c r="AB59" s="59" t="str">
        <f t="shared" si="3"/>
        <v>Azul</v>
      </c>
      <c r="AK59" s="59" t="str">
        <f t="shared" si="6"/>
        <v>Azul</v>
      </c>
    </row>
    <row r="60" spans="1:37" x14ac:dyDescent="0.25">
      <c r="A60" t="str">
        <f>Metas!$A$60</f>
        <v>SI-PY8</v>
      </c>
      <c r="B60" t="str">
        <f>Metas!B62</f>
        <v>SI-PY8.3</v>
      </c>
      <c r="C60" s="123">
        <f>Metas!R62</f>
        <v>0.8</v>
      </c>
      <c r="D60" s="9">
        <f>Metas!W62</f>
        <v>0.5</v>
      </c>
      <c r="E60" s="9">
        <f>Metas!AC62</f>
        <v>0.8</v>
      </c>
      <c r="F60" s="9">
        <f>Metas!AI62</f>
        <v>0.8</v>
      </c>
      <c r="J60" s="59" t="str">
        <f t="shared" si="0"/>
        <v>Azul</v>
      </c>
      <c r="S60" s="59" t="str">
        <f t="shared" si="2"/>
        <v>Azul</v>
      </c>
      <c r="AB60" s="59" t="str">
        <f t="shared" si="3"/>
        <v>Azul</v>
      </c>
      <c r="AK60" s="59" t="str">
        <f t="shared" si="6"/>
        <v>Verde</v>
      </c>
    </row>
    <row r="61" spans="1:37" x14ac:dyDescent="0.25">
      <c r="A61" t="str">
        <f>Metas!$A$63</f>
        <v>SI-PY9</v>
      </c>
      <c r="B61" t="str">
        <f>Metas!B66</f>
        <v>SI-PY9.4</v>
      </c>
      <c r="C61" s="123">
        <f>Metas!R66</f>
        <v>1</v>
      </c>
      <c r="D61" s="9">
        <f>Metas!W66</f>
        <v>4</v>
      </c>
      <c r="E61" s="9">
        <f>Metas!AC66</f>
        <v>4</v>
      </c>
      <c r="F61" s="9">
        <f>Metas!AI66</f>
        <v>4</v>
      </c>
      <c r="J61" s="59" t="str">
        <f t="shared" si="0"/>
        <v>Azul</v>
      </c>
      <c r="S61" s="59" t="str">
        <f t="shared" si="2"/>
        <v>Azul</v>
      </c>
      <c r="AB61" s="59" t="str">
        <f t="shared" si="3"/>
        <v>Azul</v>
      </c>
      <c r="AK61" s="59" t="str">
        <f t="shared" si="6"/>
        <v>Azul</v>
      </c>
    </row>
    <row r="62" spans="1:37" x14ac:dyDescent="0.25">
      <c r="A62" t="str">
        <f>Metas!$A$63</f>
        <v>SI-PY9</v>
      </c>
      <c r="B62" t="str">
        <f>Metas!B67</f>
        <v>SI-PY9.5</v>
      </c>
      <c r="C62" s="123">
        <f>Metas!R67</f>
        <v>0.94117647058823528</v>
      </c>
      <c r="D62" s="9">
        <f>Metas!W67</f>
        <v>8</v>
      </c>
      <c r="E62" s="9">
        <f>Metas!AC67</f>
        <v>19</v>
      </c>
      <c r="F62" s="9">
        <f>Metas!AI67</f>
        <v>19</v>
      </c>
      <c r="J62" s="59" t="str">
        <f t="shared" si="0"/>
        <v>Azul</v>
      </c>
      <c r="S62" s="59" t="str">
        <f t="shared" si="2"/>
        <v>Azul</v>
      </c>
      <c r="AB62" s="59" t="str">
        <f t="shared" si="3"/>
        <v>Azul</v>
      </c>
      <c r="AK62" s="59" t="str">
        <f t="shared" si="6"/>
        <v>Azul</v>
      </c>
    </row>
    <row r="63" spans="1:37" x14ac:dyDescent="0.25">
      <c r="A63" t="str">
        <f>Metas!$A$63</f>
        <v>SI-PY9</v>
      </c>
      <c r="B63" t="str">
        <f>Metas!B68</f>
        <v>SI-PY9.6</v>
      </c>
      <c r="C63" s="123">
        <f>Metas!R68</f>
        <v>1</v>
      </c>
      <c r="D63" s="9">
        <f>Metas!W68</f>
        <v>0.98</v>
      </c>
      <c r="E63" s="9">
        <f>Metas!AC68</f>
        <v>1</v>
      </c>
      <c r="F63" s="9">
        <f>Metas!AI68</f>
        <v>1</v>
      </c>
      <c r="J63" s="59" t="str">
        <f t="shared" si="0"/>
        <v>Azul</v>
      </c>
      <c r="S63" s="59" t="str">
        <f t="shared" si="2"/>
        <v>Azul</v>
      </c>
      <c r="AB63" s="59" t="str">
        <f t="shared" si="3"/>
        <v>Azul</v>
      </c>
      <c r="AK63" s="59" t="str">
        <f t="shared" si="6"/>
        <v>Azul</v>
      </c>
    </row>
    <row r="64" spans="1:37" x14ac:dyDescent="0.25">
      <c r="A64" t="str">
        <f>Metas!$A$69</f>
        <v>SP-PY1</v>
      </c>
      <c r="B64" t="str">
        <f>Metas!B69</f>
        <v>SP-PY1.1</v>
      </c>
      <c r="C64" s="123">
        <f>Metas!R69</f>
        <v>0.6</v>
      </c>
      <c r="D64" s="9">
        <f>Metas!W69</f>
        <v>65</v>
      </c>
      <c r="E64" s="9">
        <f>Metas!AC69</f>
        <v>107</v>
      </c>
      <c r="F64" s="9">
        <f>Metas!AI69</f>
        <v>107</v>
      </c>
      <c r="J64" s="59" t="str">
        <f t="shared" si="0"/>
        <v>Azul</v>
      </c>
      <c r="S64" s="59" t="str">
        <f t="shared" si="2"/>
        <v>Azul</v>
      </c>
      <c r="AB64" s="59" t="str">
        <f t="shared" si="3"/>
        <v>Azul</v>
      </c>
      <c r="AK64" s="59" t="str">
        <f t="shared" si="6"/>
        <v>Azul</v>
      </c>
    </row>
    <row r="65" spans="1:37" x14ac:dyDescent="0.25">
      <c r="A65" t="str">
        <f>Metas!$A$69</f>
        <v>SP-PY1</v>
      </c>
      <c r="B65" t="str">
        <f>Metas!B70</f>
        <v>SP-PY1.2</v>
      </c>
      <c r="C65" s="123">
        <f>Metas!R70</f>
        <v>1</v>
      </c>
      <c r="D65" s="9">
        <f>Metas!W70</f>
        <v>4</v>
      </c>
      <c r="E65" s="9">
        <f>Metas!AC70</f>
        <v>2</v>
      </c>
      <c r="F65" s="9">
        <f>Metas!AI70</f>
        <v>2</v>
      </c>
      <c r="J65" s="59" t="str">
        <f t="shared" si="0"/>
        <v>Azul</v>
      </c>
      <c r="S65" s="59" t="str">
        <f t="shared" si="2"/>
        <v>Azul</v>
      </c>
      <c r="AB65" s="59" t="str">
        <f t="shared" si="3"/>
        <v>Azul</v>
      </c>
      <c r="AK65" s="59" t="str">
        <f t="shared" si="6"/>
        <v>Azul</v>
      </c>
    </row>
    <row r="66" spans="1:37" x14ac:dyDescent="0.25">
      <c r="A66" t="str">
        <f>Metas!$A$69</f>
        <v>SP-PY1</v>
      </c>
      <c r="B66" t="str">
        <f>Metas!B71</f>
        <v>SP-PY1.3</v>
      </c>
      <c r="C66" s="123">
        <f>Metas!R71</f>
        <v>1</v>
      </c>
      <c r="D66" s="9">
        <f>Metas!W71</f>
        <v>2</v>
      </c>
      <c r="E66" s="9">
        <f>Metas!AC71</f>
        <v>1</v>
      </c>
      <c r="F66" s="9">
        <f>Metas!AI71</f>
        <v>1</v>
      </c>
      <c r="J66" s="59" t="str">
        <f t="shared" si="0"/>
        <v>Azul</v>
      </c>
      <c r="S66" s="59" t="str">
        <f t="shared" si="2"/>
        <v>Azul</v>
      </c>
      <c r="AB66" s="59" t="str">
        <f t="shared" si="3"/>
        <v>Azul</v>
      </c>
      <c r="AK66" s="59" t="str">
        <f t="shared" si="6"/>
        <v>Azul</v>
      </c>
    </row>
    <row r="67" spans="1:37" x14ac:dyDescent="0.25">
      <c r="A67" t="str">
        <f>Metas!A72</f>
        <v>SP-PY2</v>
      </c>
      <c r="B67" t="str">
        <f>Metas!B72</f>
        <v>SP-PY2.1</v>
      </c>
      <c r="C67" s="123">
        <f>Metas!R72</f>
        <v>1</v>
      </c>
      <c r="D67" s="9">
        <f>Metas!W72</f>
        <v>2</v>
      </c>
      <c r="E67" s="9">
        <f>Metas!AC72</f>
        <v>1</v>
      </c>
      <c r="F67" s="9">
        <f>Metas!AI72</f>
        <v>1</v>
      </c>
      <c r="J67" s="59" t="str">
        <f t="shared" si="0"/>
        <v>Azul</v>
      </c>
      <c r="S67" s="59" t="str">
        <f t="shared" si="2"/>
        <v>Azul</v>
      </c>
      <c r="AB67" s="59" t="str">
        <f t="shared" si="3"/>
        <v>Azul</v>
      </c>
      <c r="AK67" s="59" t="str">
        <f t="shared" si="6"/>
        <v>Azul</v>
      </c>
    </row>
    <row r="68" spans="1:37" x14ac:dyDescent="0.25">
      <c r="A68" t="str">
        <f>Metas!$A$73</f>
        <v>SP-PY3</v>
      </c>
      <c r="B68" t="str">
        <f>Metas!B73</f>
        <v>SI-PY3.1</v>
      </c>
      <c r="C68" s="123">
        <f>Metas!R73</f>
        <v>1</v>
      </c>
      <c r="D68" s="9">
        <f>Metas!W73</f>
        <v>2</v>
      </c>
      <c r="E68" s="9">
        <f>Metas!AC73</f>
        <v>3</v>
      </c>
      <c r="F68" s="9">
        <f>Metas!AI73</f>
        <v>3</v>
      </c>
      <c r="J68" s="59" t="str">
        <f t="shared" ref="J68:J117" si="37">IF(C68&lt;8.99%,"Rojo",IF(C68&lt;19.99%,"Amarillo",IF(C68&lt;24.99%,"Verde","Azul")))</f>
        <v>Azul</v>
      </c>
      <c r="S68" s="59" t="str">
        <f t="shared" ref="S68:S118" si="38">IF(D68&lt;15.99%,"Rojo",IF(D68&lt;36.99%,"Amarillo",IF(D68&lt;49.99%,"Verde","Azul")))</f>
        <v>Azul</v>
      </c>
      <c r="AB68" s="59" t="str">
        <f t="shared" ref="AB68:AB118" si="39">IF(E68&lt;24.99%,"Rojo",IF(E68&lt;55.99%,"Amarillo",IF(E68&lt;74.99%,"Verde","Azul")))</f>
        <v>Azul</v>
      </c>
      <c r="AK68" s="59" t="str">
        <f t="shared" ref="AK68:AK118" si="40">IF(F68&lt;33.99%,"Rojo",IF(F68&lt;75.99%,"Amarillo",IF(F68&lt;98.99%,"Verde","Azul")))</f>
        <v>Azul</v>
      </c>
    </row>
    <row r="69" spans="1:37" x14ac:dyDescent="0.25">
      <c r="A69" t="str">
        <f>Metas!$A$73</f>
        <v>SP-PY3</v>
      </c>
      <c r="B69" t="str">
        <f>Metas!B74</f>
        <v>SI-PY3.2</v>
      </c>
      <c r="C69" s="123">
        <f>Metas!R74</f>
        <v>0.44444444444444442</v>
      </c>
      <c r="D69" s="9">
        <f>Metas!W74</f>
        <v>15</v>
      </c>
      <c r="E69" s="9">
        <f>Metas!AC74</f>
        <v>4</v>
      </c>
      <c r="F69" s="9">
        <f>Metas!AI74</f>
        <v>4</v>
      </c>
      <c r="J69" s="59" t="str">
        <f t="shared" si="37"/>
        <v>Azul</v>
      </c>
      <c r="S69" s="59" t="str">
        <f t="shared" si="38"/>
        <v>Azul</v>
      </c>
      <c r="AB69" s="59" t="str">
        <f t="shared" si="39"/>
        <v>Azul</v>
      </c>
      <c r="AK69" s="59" t="str">
        <f t="shared" si="40"/>
        <v>Azul</v>
      </c>
    </row>
    <row r="70" spans="1:37" x14ac:dyDescent="0.25">
      <c r="A70" t="str">
        <f>Metas!$A$73</f>
        <v>SP-PY3</v>
      </c>
      <c r="B70" t="str">
        <f>Metas!B75</f>
        <v>SI-PY3.3</v>
      </c>
      <c r="C70" s="123">
        <f>Metas!R75</f>
        <v>1</v>
      </c>
      <c r="D70" s="9">
        <f>Metas!W75</f>
        <v>13</v>
      </c>
      <c r="E70" s="9">
        <f>Metas!AC75</f>
        <v>18</v>
      </c>
      <c r="F70" s="9">
        <f>Metas!AI75</f>
        <v>18</v>
      </c>
      <c r="J70" s="59" t="str">
        <f t="shared" si="37"/>
        <v>Azul</v>
      </c>
      <c r="S70" s="59" t="str">
        <f t="shared" si="38"/>
        <v>Azul</v>
      </c>
      <c r="AB70" s="59" t="str">
        <f t="shared" si="39"/>
        <v>Azul</v>
      </c>
      <c r="AK70" s="59" t="str">
        <f t="shared" si="40"/>
        <v>Azul</v>
      </c>
    </row>
    <row r="71" spans="1:37" x14ac:dyDescent="0.25">
      <c r="A71" t="str">
        <f>Metas!$A$73</f>
        <v>SP-PY3</v>
      </c>
      <c r="B71" t="str">
        <f>Metas!B76</f>
        <v>SI-PY3.4</v>
      </c>
      <c r="C71" s="123">
        <f>Metas!R76</f>
        <v>1</v>
      </c>
      <c r="D71" s="9">
        <f>Metas!W76</f>
        <v>102</v>
      </c>
      <c r="E71" s="9">
        <f>Metas!AC76</f>
        <v>76</v>
      </c>
      <c r="F71" s="9">
        <f>Metas!AI76</f>
        <v>76</v>
      </c>
      <c r="J71" s="59" t="str">
        <f t="shared" si="37"/>
        <v>Azul</v>
      </c>
      <c r="S71" s="59" t="str">
        <f t="shared" si="38"/>
        <v>Azul</v>
      </c>
      <c r="AB71" s="59" t="str">
        <f t="shared" si="39"/>
        <v>Azul</v>
      </c>
      <c r="AK71" s="59" t="str">
        <f t="shared" si="40"/>
        <v>Azul</v>
      </c>
    </row>
    <row r="72" spans="1:37" x14ac:dyDescent="0.25">
      <c r="A72" t="str">
        <f>Metas!$A$73</f>
        <v>SP-PY3</v>
      </c>
      <c r="B72" t="str">
        <f>Metas!B77</f>
        <v>SI-PY3.5</v>
      </c>
      <c r="C72" s="123">
        <f>Metas!R77</f>
        <v>8.3333333333333337E-6</v>
      </c>
      <c r="D72" s="9">
        <f>Metas!W77</f>
        <v>1.0001</v>
      </c>
      <c r="E72" s="9">
        <f>Metas!AC77</f>
        <v>2</v>
      </c>
      <c r="F72" s="9">
        <f>Metas!AI77</f>
        <v>2</v>
      </c>
      <c r="J72" s="59" t="str">
        <f t="shared" si="37"/>
        <v>Rojo</v>
      </c>
      <c r="S72" s="59" t="str">
        <f t="shared" si="38"/>
        <v>Azul</v>
      </c>
      <c r="AB72" s="59" t="str">
        <f t="shared" si="39"/>
        <v>Azul</v>
      </c>
      <c r="AK72" s="59" t="str">
        <f t="shared" si="40"/>
        <v>Azul</v>
      </c>
    </row>
    <row r="73" spans="1:37" x14ac:dyDescent="0.25">
      <c r="A73" t="str">
        <f>Metas!$A$73</f>
        <v>SP-PY3</v>
      </c>
      <c r="B73" t="str">
        <f>Metas!B78</f>
        <v>SI-PY3.6</v>
      </c>
      <c r="C73" s="123">
        <f>Metas!R78</f>
        <v>0.48</v>
      </c>
      <c r="D73" s="9">
        <f>Metas!W78</f>
        <v>3</v>
      </c>
      <c r="E73" s="9">
        <f>Metas!AC78</f>
        <v>27</v>
      </c>
      <c r="F73" s="9">
        <f>Metas!AI78</f>
        <v>27</v>
      </c>
      <c r="J73" s="59" t="str">
        <f t="shared" si="37"/>
        <v>Azul</v>
      </c>
      <c r="S73" s="59" t="str">
        <f t="shared" si="38"/>
        <v>Azul</v>
      </c>
      <c r="AB73" s="59" t="str">
        <f t="shared" si="39"/>
        <v>Azul</v>
      </c>
      <c r="AK73" s="59" t="str">
        <f t="shared" si="40"/>
        <v>Azul</v>
      </c>
    </row>
    <row r="74" spans="1:37" x14ac:dyDescent="0.25">
      <c r="A74" t="str">
        <f>Metas!$A$73</f>
        <v>SP-PY3</v>
      </c>
      <c r="B74" t="str">
        <f>Metas!B79</f>
        <v>SI-PY3.7</v>
      </c>
      <c r="C74" s="123">
        <f>Metas!R79</f>
        <v>1</v>
      </c>
      <c r="D74" s="9">
        <f>Metas!W79</f>
        <v>2</v>
      </c>
      <c r="E74" s="9">
        <f>Metas!AC79</f>
        <v>0.6</v>
      </c>
      <c r="F74" s="9">
        <f>Metas!AI79</f>
        <v>0.6</v>
      </c>
      <c r="J74" s="59" t="str">
        <f t="shared" si="37"/>
        <v>Azul</v>
      </c>
      <c r="S74" s="59" t="str">
        <f t="shared" si="38"/>
        <v>Azul</v>
      </c>
      <c r="AB74" s="59" t="str">
        <f t="shared" si="39"/>
        <v>Verde</v>
      </c>
      <c r="AK74" s="59" t="str">
        <f t="shared" si="40"/>
        <v>Amarillo</v>
      </c>
    </row>
    <row r="75" spans="1:37" x14ac:dyDescent="0.25">
      <c r="A75" t="str">
        <f>Metas!$A$80</f>
        <v>SP-PY4</v>
      </c>
      <c r="B75" t="str">
        <f>Metas!B80</f>
        <v>SI-PY4.1</v>
      </c>
      <c r="C75" s="123">
        <f>Metas!R80</f>
        <v>1</v>
      </c>
      <c r="D75" s="9">
        <f>Metas!W80</f>
        <v>13</v>
      </c>
      <c r="E75" s="9">
        <f>Metas!AC80</f>
        <v>5</v>
      </c>
      <c r="F75" s="9">
        <f>Metas!AI80</f>
        <v>5</v>
      </c>
      <c r="J75" s="59" t="str">
        <f t="shared" si="37"/>
        <v>Azul</v>
      </c>
      <c r="S75" s="59" t="str">
        <f t="shared" si="38"/>
        <v>Azul</v>
      </c>
      <c r="AB75" s="59" t="str">
        <f t="shared" si="39"/>
        <v>Azul</v>
      </c>
      <c r="AK75" s="59" t="str">
        <f t="shared" si="40"/>
        <v>Azul</v>
      </c>
    </row>
    <row r="76" spans="1:37" x14ac:dyDescent="0.25">
      <c r="A76" t="str">
        <f>Metas!$A$80</f>
        <v>SP-PY4</v>
      </c>
      <c r="B76" t="str">
        <f>Metas!B81</f>
        <v>SI-PY4.2</v>
      </c>
      <c r="C76" s="123">
        <f>Metas!R81</f>
        <v>1</v>
      </c>
      <c r="D76" s="9">
        <f>Metas!W81</f>
        <v>138</v>
      </c>
      <c r="E76" s="9">
        <f>Metas!AC81</f>
        <v>138</v>
      </c>
      <c r="F76" s="9">
        <f>Metas!AI81</f>
        <v>138</v>
      </c>
      <c r="J76" s="59" t="str">
        <f t="shared" si="37"/>
        <v>Azul</v>
      </c>
      <c r="S76" s="59" t="str">
        <f t="shared" si="38"/>
        <v>Azul</v>
      </c>
      <c r="AB76" s="59" t="str">
        <f t="shared" si="39"/>
        <v>Azul</v>
      </c>
      <c r="AK76" s="59" t="str">
        <f t="shared" si="40"/>
        <v>Azul</v>
      </c>
    </row>
    <row r="77" spans="1:37" x14ac:dyDescent="0.25">
      <c r="A77" t="str">
        <f>Metas!A82</f>
        <v>SP-PY5</v>
      </c>
      <c r="B77" t="str">
        <f>Metas!B82</f>
        <v>SI-PY5.1</v>
      </c>
      <c r="C77" s="123">
        <f>Metas!R82</f>
        <v>1</v>
      </c>
      <c r="D77" s="9">
        <f>Metas!W82</f>
        <v>2</v>
      </c>
      <c r="E77" s="9">
        <f>Metas!AC82</f>
        <v>1</v>
      </c>
      <c r="F77" s="9">
        <f>Metas!AI82</f>
        <v>1</v>
      </c>
      <c r="J77" s="59" t="str">
        <f t="shared" si="37"/>
        <v>Azul</v>
      </c>
      <c r="S77" s="59" t="str">
        <f t="shared" si="38"/>
        <v>Azul</v>
      </c>
      <c r="AB77" s="59" t="str">
        <f t="shared" si="39"/>
        <v>Azul</v>
      </c>
      <c r="AK77" s="59" t="str">
        <f t="shared" si="40"/>
        <v>Azul</v>
      </c>
    </row>
    <row r="78" spans="1:37" x14ac:dyDescent="0.25">
      <c r="A78" t="str">
        <f>Metas!A83</f>
        <v>SP-PY6</v>
      </c>
      <c r="B78" t="str">
        <f>Metas!B83</f>
        <v>SI-PY6.1</v>
      </c>
      <c r="C78" s="123">
        <f>Metas!R83</f>
        <v>1</v>
      </c>
      <c r="D78" s="9">
        <f>Metas!W83</f>
        <v>2</v>
      </c>
      <c r="E78" s="9">
        <f>Metas!AC83</f>
        <v>1</v>
      </c>
      <c r="F78" s="9">
        <f>Metas!AI83</f>
        <v>1</v>
      </c>
      <c r="J78" s="59" t="str">
        <f t="shared" si="37"/>
        <v>Azul</v>
      </c>
      <c r="S78" s="59" t="str">
        <f t="shared" si="38"/>
        <v>Azul</v>
      </c>
      <c r="AB78" s="59" t="str">
        <f t="shared" si="39"/>
        <v>Azul</v>
      </c>
      <c r="AK78" s="59" t="str">
        <f t="shared" si="40"/>
        <v>Azul</v>
      </c>
    </row>
    <row r="79" spans="1:37" x14ac:dyDescent="0.25">
      <c r="A79" t="str">
        <f>Metas!A84</f>
        <v>SP-PY7</v>
      </c>
      <c r="B79" t="str">
        <f>Metas!B84</f>
        <v>SI-PY7.1</v>
      </c>
      <c r="C79" s="123">
        <f>Metas!R84</f>
        <v>1</v>
      </c>
      <c r="D79" s="9">
        <f>Metas!W84</f>
        <v>4</v>
      </c>
      <c r="E79" s="9">
        <f>Metas!AC84</f>
        <v>2</v>
      </c>
      <c r="F79" s="9">
        <f>Metas!AI84</f>
        <v>2</v>
      </c>
      <c r="J79" s="59" t="str">
        <f t="shared" si="37"/>
        <v>Azul</v>
      </c>
      <c r="S79" s="59" t="str">
        <f t="shared" si="38"/>
        <v>Azul</v>
      </c>
      <c r="AB79" s="59" t="str">
        <f t="shared" si="39"/>
        <v>Azul</v>
      </c>
      <c r="AK79" s="59" t="str">
        <f t="shared" si="40"/>
        <v>Azul</v>
      </c>
    </row>
    <row r="80" spans="1:37" x14ac:dyDescent="0.25">
      <c r="A80" t="str">
        <f>Metas!$A$85</f>
        <v>SP-PY8</v>
      </c>
      <c r="B80" t="str">
        <f>Metas!B85</f>
        <v>SI-PY8.1</v>
      </c>
      <c r="C80" s="123">
        <f>Metas!R85</f>
        <v>1</v>
      </c>
      <c r="D80" s="9">
        <f>Metas!W85</f>
        <v>2</v>
      </c>
      <c r="E80" s="9">
        <f>Metas!AC85</f>
        <v>1</v>
      </c>
      <c r="F80" s="9">
        <f>Metas!AI85</f>
        <v>1</v>
      </c>
      <c r="J80" s="59" t="str">
        <f t="shared" si="37"/>
        <v>Azul</v>
      </c>
      <c r="S80" s="59" t="str">
        <f t="shared" si="38"/>
        <v>Azul</v>
      </c>
      <c r="AB80" s="59" t="str">
        <f t="shared" si="39"/>
        <v>Azul</v>
      </c>
      <c r="AK80" s="59" t="str">
        <f t="shared" si="40"/>
        <v>Azul</v>
      </c>
    </row>
    <row r="81" spans="1:37" x14ac:dyDescent="0.25">
      <c r="A81" t="str">
        <f>Metas!$A$85</f>
        <v>SP-PY8</v>
      </c>
      <c r="B81" t="str">
        <f>Metas!B86</f>
        <v>SI-PY8.2</v>
      </c>
      <c r="C81" s="123">
        <f>Metas!R86</f>
        <v>1</v>
      </c>
      <c r="D81" s="9">
        <f>Metas!W86</f>
        <v>2</v>
      </c>
      <c r="E81" s="9">
        <f>Metas!AC86</f>
        <v>1</v>
      </c>
      <c r="F81" s="9">
        <f>Metas!AI86</f>
        <v>1</v>
      </c>
      <c r="J81" s="59" t="str">
        <f t="shared" si="37"/>
        <v>Azul</v>
      </c>
      <c r="S81" s="59" t="str">
        <f t="shared" si="38"/>
        <v>Azul</v>
      </c>
      <c r="AB81" s="59" t="str">
        <f t="shared" si="39"/>
        <v>Azul</v>
      </c>
      <c r="AK81" s="59" t="str">
        <f t="shared" si="40"/>
        <v>Azul</v>
      </c>
    </row>
    <row r="82" spans="1:37" x14ac:dyDescent="0.25">
      <c r="A82" t="str">
        <f>Metas!$A$85</f>
        <v>SP-PY8</v>
      </c>
      <c r="B82" t="str">
        <f>Metas!B87</f>
        <v>SI-PY8.3</v>
      </c>
      <c r="C82" s="123">
        <f>Metas!R87</f>
        <v>1</v>
      </c>
      <c r="D82" s="9">
        <f>Metas!W87</f>
        <v>2</v>
      </c>
      <c r="E82" s="9">
        <f>Metas!AC87</f>
        <v>1</v>
      </c>
      <c r="F82" s="9">
        <f>Metas!AI87</f>
        <v>1</v>
      </c>
      <c r="J82" s="59" t="str">
        <f t="shared" si="37"/>
        <v>Azul</v>
      </c>
      <c r="S82" s="59" t="str">
        <f t="shared" si="38"/>
        <v>Azul</v>
      </c>
      <c r="AB82" s="59" t="str">
        <f t="shared" si="39"/>
        <v>Azul</v>
      </c>
      <c r="AK82" s="59" t="str">
        <f t="shared" si="40"/>
        <v>Azul</v>
      </c>
    </row>
    <row r="83" spans="1:37" x14ac:dyDescent="0.25">
      <c r="A83" s="190" t="str">
        <f>Metas!$A$88</f>
        <v>SB-PY1</v>
      </c>
      <c r="B83" t="str">
        <f>Metas!B88</f>
        <v>SB-PY1.1</v>
      </c>
      <c r="C83" s="123">
        <f>Metas!R88</f>
        <v>0.48296296296296298</v>
      </c>
      <c r="D83" s="9">
        <f>Metas!W88</f>
        <v>1161</v>
      </c>
      <c r="E83" s="9">
        <f>Metas!AC88</f>
        <v>1161</v>
      </c>
      <c r="F83" s="9">
        <f>Metas!AI88</f>
        <v>1161</v>
      </c>
      <c r="J83" s="59" t="str">
        <f t="shared" si="37"/>
        <v>Azul</v>
      </c>
      <c r="S83" s="59" t="str">
        <f t="shared" si="38"/>
        <v>Azul</v>
      </c>
      <c r="AB83" s="59" t="str">
        <f t="shared" si="39"/>
        <v>Azul</v>
      </c>
      <c r="AK83" s="59" t="str">
        <f t="shared" si="40"/>
        <v>Azul</v>
      </c>
    </row>
    <row r="84" spans="1:37" x14ac:dyDescent="0.25">
      <c r="A84" t="str">
        <f>Metas!$A$88</f>
        <v>SB-PY1</v>
      </c>
      <c r="B84" t="str">
        <f>Metas!B89</f>
        <v>SB-PY1.2</v>
      </c>
      <c r="C84" s="123">
        <f>Metas!R89</f>
        <v>1</v>
      </c>
      <c r="D84" s="9">
        <f>Metas!W89</f>
        <v>495</v>
      </c>
      <c r="E84" s="9">
        <f>Metas!AC89</f>
        <v>495</v>
      </c>
      <c r="F84" s="9">
        <f>Metas!AI89</f>
        <v>495</v>
      </c>
      <c r="J84" s="59" t="str">
        <f t="shared" si="37"/>
        <v>Azul</v>
      </c>
      <c r="S84" s="59" t="str">
        <f t="shared" si="38"/>
        <v>Azul</v>
      </c>
      <c r="AB84" s="59" t="str">
        <f t="shared" si="39"/>
        <v>Azul</v>
      </c>
      <c r="AK84" s="59" t="str">
        <f t="shared" si="40"/>
        <v>Azul</v>
      </c>
    </row>
    <row r="85" spans="1:37" x14ac:dyDescent="0.25">
      <c r="C85" s="123">
        <f>Metas!R90</f>
        <v>1</v>
      </c>
      <c r="D85" s="9">
        <f>Metas!W90</f>
        <v>6289</v>
      </c>
      <c r="E85" s="9">
        <f>Metas!AC90</f>
        <v>6289</v>
      </c>
      <c r="F85" s="9">
        <f>Metas!AI90</f>
        <v>6289</v>
      </c>
      <c r="J85" s="59" t="str">
        <f t="shared" si="37"/>
        <v>Azul</v>
      </c>
      <c r="S85" s="59" t="str">
        <f t="shared" si="38"/>
        <v>Azul</v>
      </c>
      <c r="AB85" s="59" t="str">
        <f t="shared" si="39"/>
        <v>Azul</v>
      </c>
      <c r="AK85" s="59" t="str">
        <f t="shared" si="40"/>
        <v>Azul</v>
      </c>
    </row>
    <row r="86" spans="1:37" x14ac:dyDescent="0.25">
      <c r="A86" t="str">
        <f>Metas!$A$88</f>
        <v>SB-PY1</v>
      </c>
      <c r="B86" t="str">
        <f>Metas!B91</f>
        <v>SB-PY1.3</v>
      </c>
      <c r="C86" s="123">
        <f>Metas!R91</f>
        <v>1</v>
      </c>
      <c r="D86" s="9">
        <f>Metas!W91</f>
        <v>100</v>
      </c>
      <c r="E86" s="9">
        <f>Metas!AC91</f>
        <v>100</v>
      </c>
      <c r="F86" s="9">
        <f>Metas!AI91</f>
        <v>100</v>
      </c>
      <c r="J86" s="59" t="str">
        <f t="shared" si="37"/>
        <v>Azul</v>
      </c>
      <c r="S86" s="59" t="str">
        <f t="shared" si="38"/>
        <v>Azul</v>
      </c>
      <c r="AB86" s="59" t="str">
        <f t="shared" si="39"/>
        <v>Azul</v>
      </c>
      <c r="AK86" s="59" t="str">
        <f t="shared" si="40"/>
        <v>Azul</v>
      </c>
    </row>
    <row r="87" spans="1:37" x14ac:dyDescent="0.25">
      <c r="A87" t="str">
        <f>Metas!$A$92</f>
        <v>SB-PY2</v>
      </c>
      <c r="B87" t="str">
        <f>Metas!B92</f>
        <v>SB-PY2.1</v>
      </c>
      <c r="C87" s="123">
        <f>Metas!R92</f>
        <v>1</v>
      </c>
      <c r="D87" s="9">
        <f>Metas!W92</f>
        <v>163</v>
      </c>
      <c r="E87" s="9">
        <f>Metas!AC92</f>
        <v>194</v>
      </c>
      <c r="F87" s="9">
        <f>Metas!AI92</f>
        <v>194</v>
      </c>
      <c r="J87" s="59" t="str">
        <f t="shared" si="37"/>
        <v>Azul</v>
      </c>
      <c r="S87" s="59" t="str">
        <f t="shared" si="38"/>
        <v>Azul</v>
      </c>
      <c r="AB87" s="59" t="str">
        <f t="shared" si="39"/>
        <v>Azul</v>
      </c>
      <c r="AK87" s="59" t="str">
        <f t="shared" si="40"/>
        <v>Azul</v>
      </c>
    </row>
    <row r="88" spans="1:37" x14ac:dyDescent="0.25">
      <c r="A88" t="str">
        <f>Metas!$A$93</f>
        <v>SB-PY3</v>
      </c>
      <c r="B88" t="str">
        <f>Metas!B93</f>
        <v>SB-PY3.1</v>
      </c>
      <c r="C88" s="123">
        <f>Metas!R93</f>
        <v>1</v>
      </c>
      <c r="D88" s="9">
        <f>Metas!W93</f>
        <v>236</v>
      </c>
      <c r="E88" s="9">
        <f>Metas!AC93</f>
        <v>280</v>
      </c>
      <c r="F88" s="9">
        <f>Metas!AI93</f>
        <v>280</v>
      </c>
      <c r="J88" s="59" t="str">
        <f t="shared" si="37"/>
        <v>Azul</v>
      </c>
      <c r="S88" s="59" t="str">
        <f t="shared" si="38"/>
        <v>Azul</v>
      </c>
      <c r="AB88" s="59" t="str">
        <f t="shared" si="39"/>
        <v>Azul</v>
      </c>
      <c r="AK88" s="59" t="str">
        <f t="shared" si="40"/>
        <v>Azul</v>
      </c>
    </row>
    <row r="89" spans="1:37" x14ac:dyDescent="0.25">
      <c r="C89" s="123">
        <f>Metas!R94</f>
        <v>1</v>
      </c>
      <c r="D89" s="9">
        <f>Metas!W94</f>
        <v>27</v>
      </c>
      <c r="E89" s="9">
        <f>Metas!AC94</f>
        <v>13</v>
      </c>
      <c r="F89" s="9">
        <f>Metas!AI94</f>
        <v>13</v>
      </c>
      <c r="J89" s="59" t="str">
        <f t="shared" si="37"/>
        <v>Azul</v>
      </c>
      <c r="S89" s="59" t="str">
        <f t="shared" si="38"/>
        <v>Azul</v>
      </c>
      <c r="AB89" s="59" t="str">
        <f t="shared" si="39"/>
        <v>Azul</v>
      </c>
      <c r="AK89" s="59" t="str">
        <f t="shared" si="40"/>
        <v>Azul</v>
      </c>
    </row>
    <row r="90" spans="1:37" x14ac:dyDescent="0.25">
      <c r="C90" s="123">
        <f>Metas!R95</f>
        <v>1</v>
      </c>
      <c r="D90" s="9">
        <f>Metas!W95</f>
        <v>25</v>
      </c>
      <c r="E90" s="9">
        <f>Metas!AC95</f>
        <v>12</v>
      </c>
      <c r="F90" s="9">
        <f>Metas!AI95</f>
        <v>12</v>
      </c>
      <c r="J90" s="59" t="str">
        <f t="shared" si="37"/>
        <v>Azul</v>
      </c>
      <c r="S90" s="59" t="str">
        <f t="shared" si="38"/>
        <v>Azul</v>
      </c>
      <c r="AB90" s="59" t="str">
        <f t="shared" si="39"/>
        <v>Azul</v>
      </c>
      <c r="AK90" s="59" t="str">
        <f t="shared" si="40"/>
        <v>Azul</v>
      </c>
    </row>
    <row r="91" spans="1:37" x14ac:dyDescent="0.25">
      <c r="A91" t="str">
        <f>Metas!$A$96</f>
        <v>SB-PY4</v>
      </c>
      <c r="B91" t="str">
        <f>Metas!B96</f>
        <v>SB-PY4.1</v>
      </c>
      <c r="C91" s="123">
        <f>Metas!R96</f>
        <v>2.0000000000000002E-5</v>
      </c>
      <c r="D91" s="9">
        <f>Metas!W96</f>
        <v>1E-4</v>
      </c>
      <c r="E91" s="9">
        <f>Metas!AC96</f>
        <v>8</v>
      </c>
      <c r="F91" s="9">
        <f>Metas!AI96</f>
        <v>8</v>
      </c>
      <c r="J91" s="59" t="str">
        <f t="shared" si="37"/>
        <v>Rojo</v>
      </c>
      <c r="S91" s="59" t="str">
        <f t="shared" si="38"/>
        <v>Rojo</v>
      </c>
      <c r="AB91" s="59" t="str">
        <f t="shared" si="39"/>
        <v>Azul</v>
      </c>
      <c r="AK91" s="59" t="str">
        <f t="shared" si="40"/>
        <v>Azul</v>
      </c>
    </row>
    <row r="92" spans="1:37" x14ac:dyDescent="0.25">
      <c r="A92" t="str">
        <f>Metas!$A$96</f>
        <v>SB-PY4</v>
      </c>
      <c r="B92" t="str">
        <f>Metas!B97</f>
        <v>SB-PY4.2</v>
      </c>
      <c r="C92" s="123">
        <f>Metas!R97</f>
        <v>6.666666666666667E-5</v>
      </c>
      <c r="D92" s="9">
        <f>Metas!W97</f>
        <v>1E-4</v>
      </c>
      <c r="E92" s="9">
        <f>Metas!AC97</f>
        <v>2</v>
      </c>
      <c r="F92" s="9">
        <f>Metas!AI97</f>
        <v>2</v>
      </c>
      <c r="J92" s="59" t="str">
        <f t="shared" si="37"/>
        <v>Rojo</v>
      </c>
      <c r="S92" s="59" t="str">
        <f t="shared" si="38"/>
        <v>Rojo</v>
      </c>
      <c r="AB92" s="59" t="str">
        <f t="shared" si="39"/>
        <v>Azul</v>
      </c>
      <c r="AK92" s="59" t="str">
        <f t="shared" si="40"/>
        <v>Azul</v>
      </c>
    </row>
    <row r="93" spans="1:37" x14ac:dyDescent="0.25">
      <c r="A93" t="str">
        <f>Metas!$A$98</f>
        <v>SB-PY5</v>
      </c>
      <c r="B93" t="str">
        <f>Metas!B98</f>
        <v>SB-PY5.1</v>
      </c>
      <c r="C93" s="123">
        <f>Metas!R98</f>
        <v>0.68108798289633876</v>
      </c>
      <c r="D93" s="9">
        <f>Metas!W98</f>
        <v>322899</v>
      </c>
      <c r="E93" s="9">
        <f>Metas!AC98</f>
        <v>438714</v>
      </c>
      <c r="F93" s="9">
        <f>Metas!AI98</f>
        <v>438714</v>
      </c>
      <c r="J93" s="59" t="str">
        <f t="shared" si="37"/>
        <v>Azul</v>
      </c>
      <c r="S93" s="59" t="str">
        <f t="shared" si="38"/>
        <v>Azul</v>
      </c>
      <c r="AB93" s="59" t="str">
        <f t="shared" si="39"/>
        <v>Azul</v>
      </c>
      <c r="AK93" s="59" t="str">
        <f t="shared" si="40"/>
        <v>Azul</v>
      </c>
    </row>
    <row r="94" spans="1:37" x14ac:dyDescent="0.25">
      <c r="A94" t="str">
        <f>Metas!$A$98</f>
        <v>SB-PY5</v>
      </c>
      <c r="B94" t="str">
        <f>Metas!B99</f>
        <v>SB-PY5.2</v>
      </c>
      <c r="C94" s="123">
        <f>Metas!R99</f>
        <v>1</v>
      </c>
      <c r="D94" s="9">
        <f>Metas!W99</f>
        <v>776</v>
      </c>
      <c r="E94" s="9">
        <f>Metas!AC99</f>
        <v>393</v>
      </c>
      <c r="F94" s="9">
        <f>Metas!AI99</f>
        <v>393</v>
      </c>
      <c r="J94" s="59" t="str">
        <f t="shared" si="37"/>
        <v>Azul</v>
      </c>
      <c r="S94" s="59" t="str">
        <f t="shared" si="38"/>
        <v>Azul</v>
      </c>
      <c r="AB94" s="59" t="str">
        <f t="shared" si="39"/>
        <v>Azul</v>
      </c>
      <c r="AK94" s="59" t="str">
        <f t="shared" si="40"/>
        <v>Azul</v>
      </c>
    </row>
    <row r="95" spans="1:37" x14ac:dyDescent="0.25">
      <c r="A95" t="str">
        <f>Metas!A100</f>
        <v>SB-PY6</v>
      </c>
      <c r="B95" t="str">
        <f>Metas!B100</f>
        <v>SB-PY6.1</v>
      </c>
      <c r="C95" s="123">
        <f>Metas!R100</f>
        <v>8.0000000000000007E-5</v>
      </c>
      <c r="D95" s="9">
        <f>Metas!W100</f>
        <v>1E-4</v>
      </c>
      <c r="E95" s="9">
        <f>Metas!AC100</f>
        <v>2</v>
      </c>
      <c r="F95" s="9">
        <f>Metas!AI100</f>
        <v>2</v>
      </c>
      <c r="J95" s="59" t="str">
        <f t="shared" si="37"/>
        <v>Rojo</v>
      </c>
      <c r="S95" s="59" t="str">
        <f t="shared" si="38"/>
        <v>Rojo</v>
      </c>
      <c r="AB95" s="59" t="str">
        <f t="shared" si="39"/>
        <v>Azul</v>
      </c>
      <c r="AK95" s="59" t="str">
        <f t="shared" si="40"/>
        <v>Azul</v>
      </c>
    </row>
    <row r="96" spans="1:37" x14ac:dyDescent="0.25">
      <c r="A96" t="str">
        <f>Metas!$A$101</f>
        <v>SB-PY7</v>
      </c>
      <c r="B96" t="str">
        <f>Metas!B101</f>
        <v>SB-PY7.1</v>
      </c>
      <c r="C96" s="123">
        <f>Metas!R101</f>
        <v>0.9</v>
      </c>
      <c r="D96" s="9">
        <f>Metas!W101</f>
        <v>1051</v>
      </c>
      <c r="E96" s="9">
        <f>Metas!AC101</f>
        <v>1446</v>
      </c>
      <c r="F96" s="9">
        <f>Metas!AI101</f>
        <v>1446</v>
      </c>
      <c r="J96" s="59" t="str">
        <f t="shared" si="37"/>
        <v>Azul</v>
      </c>
      <c r="S96" s="59" t="str">
        <f t="shared" si="38"/>
        <v>Azul</v>
      </c>
      <c r="AB96" s="59" t="str">
        <f t="shared" si="39"/>
        <v>Azul</v>
      </c>
      <c r="AK96" s="59" t="str">
        <f t="shared" si="40"/>
        <v>Azul</v>
      </c>
    </row>
    <row r="97" spans="1:37" x14ac:dyDescent="0.25">
      <c r="A97" t="str">
        <f>Metas!$A$101</f>
        <v>SB-PY7</v>
      </c>
      <c r="B97" t="str">
        <f>Metas!B102</f>
        <v>SB-PY7.2</v>
      </c>
      <c r="C97" s="123">
        <f>Metas!R102</f>
        <v>0.87707641196013286</v>
      </c>
      <c r="D97" s="9">
        <f>Metas!W102</f>
        <v>518</v>
      </c>
      <c r="E97" s="9">
        <f>Metas!AC102</f>
        <v>740</v>
      </c>
      <c r="F97" s="9">
        <f>Metas!AI102</f>
        <v>740</v>
      </c>
      <c r="J97" s="59" t="str">
        <f t="shared" si="37"/>
        <v>Azul</v>
      </c>
      <c r="S97" s="59" t="str">
        <f t="shared" si="38"/>
        <v>Azul</v>
      </c>
      <c r="AB97" s="59" t="str">
        <f t="shared" si="39"/>
        <v>Azul</v>
      </c>
      <c r="AK97" s="59" t="str">
        <f t="shared" si="40"/>
        <v>Azul</v>
      </c>
    </row>
    <row r="98" spans="1:37" x14ac:dyDescent="0.25">
      <c r="A98" t="str">
        <f>Metas!$A$101</f>
        <v>SB-PY7</v>
      </c>
      <c r="B98" t="str">
        <f>Metas!B103</f>
        <v>SB-PY7.3</v>
      </c>
      <c r="C98" s="123">
        <f>Metas!R103</f>
        <v>0.84666666666666668</v>
      </c>
      <c r="D98" s="9">
        <f>Metas!W103</f>
        <v>625</v>
      </c>
      <c r="E98" s="9">
        <f>Metas!AC103</f>
        <v>712</v>
      </c>
      <c r="F98" s="9">
        <f>Metas!AI103</f>
        <v>712</v>
      </c>
      <c r="J98" s="59" t="str">
        <f t="shared" si="37"/>
        <v>Azul</v>
      </c>
      <c r="S98" s="59" t="str">
        <f t="shared" si="38"/>
        <v>Azul</v>
      </c>
      <c r="AB98" s="59" t="str">
        <f t="shared" si="39"/>
        <v>Azul</v>
      </c>
      <c r="AK98" s="59" t="str">
        <f t="shared" si="40"/>
        <v>Azul</v>
      </c>
    </row>
    <row r="99" spans="1:37" x14ac:dyDescent="0.25">
      <c r="A99" t="str">
        <f>Metas!A104</f>
        <v>SA-PY1</v>
      </c>
      <c r="B99" t="str">
        <f>Metas!B104</f>
        <v>SA-PY1.1</v>
      </c>
      <c r="C99" s="123">
        <f>Metas!R104</f>
        <v>1</v>
      </c>
      <c r="D99" s="9">
        <f>Metas!W104</f>
        <v>3.4999999999999996E-2</v>
      </c>
      <c r="E99" s="9">
        <f>Metas!AC104</f>
        <v>5.5799999999999995E-2</v>
      </c>
      <c r="F99" s="9">
        <f>Metas!AI104</f>
        <v>5.5799999999999995E-2</v>
      </c>
      <c r="J99" s="59" t="str">
        <f t="shared" si="37"/>
        <v>Azul</v>
      </c>
      <c r="S99" s="59" t="str">
        <f t="shared" si="38"/>
        <v>Rojo</v>
      </c>
      <c r="AB99" s="59" t="str">
        <f t="shared" si="39"/>
        <v>Rojo</v>
      </c>
      <c r="AK99" s="59" t="str">
        <f t="shared" si="40"/>
        <v>Rojo</v>
      </c>
    </row>
    <row r="100" spans="1:37" x14ac:dyDescent="0.25">
      <c r="A100" t="str">
        <f>Metas!$A$105</f>
        <v>SA-PY2</v>
      </c>
      <c r="B100" t="str">
        <f>Metas!B105</f>
        <v>SA-PY2a.1</v>
      </c>
      <c r="C100" s="123" t="str">
        <f>Metas!R105</f>
        <v/>
      </c>
      <c r="D100" s="9">
        <f>Metas!W105</f>
        <v>0</v>
      </c>
      <c r="E100" s="9">
        <f>Metas!AC105</f>
        <v>1E-3</v>
      </c>
      <c r="F100" s="9">
        <f>Metas!AI105</f>
        <v>1E-3</v>
      </c>
      <c r="J100" s="59" t="str">
        <f t="shared" si="37"/>
        <v>Azul</v>
      </c>
      <c r="S100" s="59" t="str">
        <f t="shared" si="38"/>
        <v>Rojo</v>
      </c>
      <c r="AB100" s="59" t="str">
        <f t="shared" si="39"/>
        <v>Rojo</v>
      </c>
      <c r="AK100" s="59" t="str">
        <f t="shared" si="40"/>
        <v>Rojo</v>
      </c>
    </row>
    <row r="101" spans="1:37" x14ac:dyDescent="0.25">
      <c r="A101" t="str">
        <f>Metas!$A$105</f>
        <v>SA-PY2</v>
      </c>
      <c r="B101" t="str">
        <f>Metas!B106</f>
        <v>SA-PY2a.2</v>
      </c>
      <c r="C101" s="123">
        <f>Metas!R106</f>
        <v>1</v>
      </c>
      <c r="D101" s="9">
        <f>Metas!W106</f>
        <v>36.33</v>
      </c>
      <c r="E101" s="9">
        <f>Metas!AC106</f>
        <v>120.9666</v>
      </c>
      <c r="F101" s="9">
        <f>Metas!AI106</f>
        <v>120.9666</v>
      </c>
      <c r="J101" s="59" t="str">
        <f t="shared" si="37"/>
        <v>Azul</v>
      </c>
      <c r="S101" s="59" t="str">
        <f t="shared" si="38"/>
        <v>Azul</v>
      </c>
      <c r="AB101" s="59" t="str">
        <f t="shared" si="39"/>
        <v>Azul</v>
      </c>
      <c r="AK101" s="59" t="str">
        <f t="shared" si="40"/>
        <v>Azul</v>
      </c>
    </row>
    <row r="102" spans="1:37" x14ac:dyDescent="0.25">
      <c r="A102" t="str">
        <f>Metas!$A$105</f>
        <v>SA-PY2</v>
      </c>
      <c r="B102" t="str">
        <f>Metas!B107</f>
        <v>SA-PY2b.1</v>
      </c>
      <c r="C102" s="123">
        <f>Metas!R107</f>
        <v>0.42320819112627989</v>
      </c>
      <c r="D102" s="9">
        <f>Metas!W107</f>
        <v>97</v>
      </c>
      <c r="E102" s="9">
        <f>Metas!AC107</f>
        <v>313.08532423208192</v>
      </c>
      <c r="F102" s="9">
        <f>Metas!AI107</f>
        <v>313.08532423208192</v>
      </c>
      <c r="J102" s="59" t="str">
        <f t="shared" si="37"/>
        <v>Azul</v>
      </c>
      <c r="S102" s="59" t="str">
        <f t="shared" si="38"/>
        <v>Azul</v>
      </c>
      <c r="AB102" s="59" t="str">
        <f t="shared" si="39"/>
        <v>Azul</v>
      </c>
      <c r="AK102" s="59" t="str">
        <f t="shared" si="40"/>
        <v>Azul</v>
      </c>
    </row>
    <row r="103" spans="1:37" x14ac:dyDescent="0.25">
      <c r="A103" t="str">
        <f>Metas!$A$105</f>
        <v>SA-PY2</v>
      </c>
      <c r="B103" t="str">
        <f>Metas!B108</f>
        <v>SA-PY2b.2</v>
      </c>
      <c r="C103" s="123">
        <f>Metas!R108</f>
        <v>1</v>
      </c>
      <c r="D103" s="9">
        <f>Metas!W108</f>
        <v>113.42</v>
      </c>
      <c r="E103" s="9">
        <f>Metas!AC108</f>
        <v>375.42</v>
      </c>
      <c r="F103" s="9">
        <f>Metas!AI108</f>
        <v>375.42</v>
      </c>
      <c r="J103" s="59" t="str">
        <f t="shared" si="37"/>
        <v>Azul</v>
      </c>
      <c r="S103" s="59" t="str">
        <f t="shared" si="38"/>
        <v>Azul</v>
      </c>
      <c r="AB103" s="59" t="str">
        <f t="shared" si="39"/>
        <v>Azul</v>
      </c>
      <c r="AK103" s="59" t="str">
        <f t="shared" si="40"/>
        <v>Azul</v>
      </c>
    </row>
    <row r="104" spans="1:37" x14ac:dyDescent="0.25">
      <c r="A104" t="str">
        <f>Metas!$A$105</f>
        <v>SA-PY2</v>
      </c>
      <c r="B104" t="str">
        <f>Metas!B109</f>
        <v>SA-PY2b.3</v>
      </c>
      <c r="C104" s="123">
        <f>Metas!R109</f>
        <v>9.058823529411765E-3</v>
      </c>
      <c r="D104" s="9">
        <f>Metas!W109</f>
        <v>0.77</v>
      </c>
      <c r="E104" s="9">
        <f>Metas!AC109</f>
        <v>0.77</v>
      </c>
      <c r="F104" s="9">
        <f>Metas!AI109</f>
        <v>0.77</v>
      </c>
      <c r="J104" s="59" t="str">
        <f t="shared" si="37"/>
        <v>Rojo</v>
      </c>
      <c r="S104" s="59" t="str">
        <f t="shared" si="38"/>
        <v>Azul</v>
      </c>
      <c r="AB104" s="59" t="str">
        <f t="shared" si="39"/>
        <v>Azul</v>
      </c>
      <c r="AK104" s="59" t="str">
        <f t="shared" si="40"/>
        <v>Verde</v>
      </c>
    </row>
    <row r="105" spans="1:37" x14ac:dyDescent="0.25">
      <c r="A105" t="str">
        <f>Metas!$A$105</f>
        <v>SA-PY2</v>
      </c>
      <c r="B105" t="str">
        <f>Metas!B110</f>
        <v>SA-PY2b.4</v>
      </c>
      <c r="C105" s="123">
        <f>Metas!R110</f>
        <v>0.22162162162162161</v>
      </c>
      <c r="D105" s="9">
        <f>Metas!W110</f>
        <v>5.0999999999999996</v>
      </c>
      <c r="E105" s="9">
        <f>Metas!AC110</f>
        <v>23.1</v>
      </c>
      <c r="F105" s="9">
        <f>Metas!AI110</f>
        <v>23.1</v>
      </c>
      <c r="J105" s="59" t="str">
        <f t="shared" si="37"/>
        <v>Verde</v>
      </c>
      <c r="S105" s="59" t="str">
        <f t="shared" si="38"/>
        <v>Azul</v>
      </c>
      <c r="AB105" s="59" t="str">
        <f t="shared" si="39"/>
        <v>Azul</v>
      </c>
      <c r="AK105" s="59" t="str">
        <f t="shared" si="40"/>
        <v>Azul</v>
      </c>
    </row>
    <row r="106" spans="1:37" x14ac:dyDescent="0.25">
      <c r="A106" t="str">
        <f>Metas!$A$105</f>
        <v>SA-PY2</v>
      </c>
      <c r="B106" t="str">
        <f>Metas!B111</f>
        <v>SA-PY2b.5</v>
      </c>
      <c r="C106" s="123">
        <f>Metas!R111</f>
        <v>1</v>
      </c>
      <c r="D106" s="9">
        <f>Metas!W111</f>
        <v>28.5</v>
      </c>
      <c r="E106" s="9">
        <f>Metas!AC111</f>
        <v>87.07</v>
      </c>
      <c r="F106" s="9">
        <f>Metas!AI111</f>
        <v>87.07</v>
      </c>
      <c r="J106" s="59" t="str">
        <f t="shared" si="37"/>
        <v>Azul</v>
      </c>
      <c r="S106" s="59" t="str">
        <f t="shared" si="38"/>
        <v>Azul</v>
      </c>
      <c r="AB106" s="59" t="str">
        <f t="shared" si="39"/>
        <v>Azul</v>
      </c>
      <c r="AK106" s="59" t="str">
        <f t="shared" si="40"/>
        <v>Azul</v>
      </c>
    </row>
    <row r="107" spans="1:37" x14ac:dyDescent="0.25">
      <c r="A107" t="str">
        <f>Metas!$A$105</f>
        <v>SA-PY2</v>
      </c>
      <c r="B107" t="str">
        <f>Metas!B112</f>
        <v>SA-PY2b.6</v>
      </c>
      <c r="C107" s="123">
        <f>Metas!R112</f>
        <v>0.39089887640449439</v>
      </c>
      <c r="D107" s="9">
        <f>Metas!W112</f>
        <v>34.79</v>
      </c>
      <c r="E107" s="9">
        <f>Metas!AC112</f>
        <v>160.79</v>
      </c>
      <c r="F107" s="9">
        <f>Metas!AI112</f>
        <v>160.79</v>
      </c>
      <c r="J107" s="59" t="str">
        <f t="shared" si="37"/>
        <v>Azul</v>
      </c>
      <c r="S107" s="59" t="str">
        <f t="shared" si="38"/>
        <v>Azul</v>
      </c>
      <c r="AB107" s="59" t="str">
        <f t="shared" si="39"/>
        <v>Azul</v>
      </c>
      <c r="AK107" s="59" t="str">
        <f t="shared" si="40"/>
        <v>Azul</v>
      </c>
    </row>
    <row r="108" spans="1:37" x14ac:dyDescent="0.25">
      <c r="A108" t="str">
        <f>Metas!$A$105</f>
        <v>SA-PY2</v>
      </c>
      <c r="B108" t="str">
        <f>Metas!B113</f>
        <v>SA-PY2b.7</v>
      </c>
      <c r="C108" s="123">
        <f>Metas!R113</f>
        <v>0.82857142857142863</v>
      </c>
      <c r="D108" s="9">
        <f>Metas!W113</f>
        <v>253.5</v>
      </c>
      <c r="E108" s="9">
        <f>Metas!AC113</f>
        <v>553.5</v>
      </c>
      <c r="F108" s="9">
        <f>Metas!AI113</f>
        <v>553.5</v>
      </c>
      <c r="J108" s="59" t="str">
        <f t="shared" si="37"/>
        <v>Azul</v>
      </c>
      <c r="S108" s="59" t="str">
        <f t="shared" si="38"/>
        <v>Azul</v>
      </c>
      <c r="AB108" s="59" t="str">
        <f t="shared" si="39"/>
        <v>Azul</v>
      </c>
      <c r="AK108" s="59" t="str">
        <f t="shared" si="40"/>
        <v>Azul</v>
      </c>
    </row>
    <row r="109" spans="1:37" x14ac:dyDescent="0.25">
      <c r="A109" t="str">
        <f>Metas!$A$114</f>
        <v>SA-PY3</v>
      </c>
      <c r="B109" t="str">
        <f>Metas!B114</f>
        <v>SA-PY3.1</v>
      </c>
      <c r="C109" s="123">
        <f>Metas!R114</f>
        <v>1</v>
      </c>
      <c r="D109" s="9">
        <f>Metas!W114</f>
        <v>98.699999999999989</v>
      </c>
      <c r="E109" s="9">
        <f>Metas!AC114</f>
        <v>298.09999999999997</v>
      </c>
      <c r="F109" s="9">
        <f>Metas!AI114</f>
        <v>298.09999999999997</v>
      </c>
      <c r="J109" s="59" t="str">
        <f t="shared" si="37"/>
        <v>Azul</v>
      </c>
      <c r="S109" s="59" t="str">
        <f t="shared" si="38"/>
        <v>Azul</v>
      </c>
      <c r="AB109" s="59" t="str">
        <f t="shared" si="39"/>
        <v>Azul</v>
      </c>
      <c r="AK109" s="59" t="str">
        <f t="shared" si="40"/>
        <v>Azul</v>
      </c>
    </row>
    <row r="110" spans="1:37" x14ac:dyDescent="0.25">
      <c r="A110" t="str">
        <f>Metas!$A$114</f>
        <v>SA-PY3</v>
      </c>
      <c r="B110" t="str">
        <f>Metas!B115</f>
        <v>SA-PY3.2</v>
      </c>
      <c r="C110" s="123">
        <f>Metas!R115</f>
        <v>1</v>
      </c>
      <c r="D110" s="9">
        <f>Metas!W115</f>
        <v>99.1</v>
      </c>
      <c r="E110" s="9">
        <f>Metas!AC115</f>
        <v>299.29999999999995</v>
      </c>
      <c r="F110" s="9">
        <f>Metas!AI115</f>
        <v>299.29999999999995</v>
      </c>
      <c r="J110" s="59" t="str">
        <f t="shared" si="37"/>
        <v>Azul</v>
      </c>
      <c r="S110" s="59" t="str">
        <f t="shared" si="38"/>
        <v>Azul</v>
      </c>
      <c r="AB110" s="59" t="str">
        <f t="shared" si="39"/>
        <v>Azul</v>
      </c>
      <c r="AK110" s="59" t="str">
        <f t="shared" si="40"/>
        <v>Azul</v>
      </c>
    </row>
    <row r="111" spans="1:37" x14ac:dyDescent="0.25">
      <c r="A111" t="str">
        <f>Metas!$A$114</f>
        <v>SA-PY3</v>
      </c>
      <c r="B111" t="str">
        <f>Metas!B116</f>
        <v>SA-PY3.3</v>
      </c>
      <c r="C111" s="123" t="str">
        <f>Metas!R116</f>
        <v/>
      </c>
      <c r="D111" s="9">
        <f>Metas!W116</f>
        <v>0</v>
      </c>
      <c r="E111" s="9">
        <f>Metas!AC116</f>
        <v>0</v>
      </c>
      <c r="F111" s="9">
        <f>Metas!AI116</f>
        <v>0</v>
      </c>
      <c r="J111" s="59" t="str">
        <f t="shared" si="37"/>
        <v>Azul</v>
      </c>
      <c r="S111" s="59" t="str">
        <f t="shared" si="38"/>
        <v>Rojo</v>
      </c>
      <c r="AB111" s="59" t="str">
        <f t="shared" si="39"/>
        <v>Rojo</v>
      </c>
      <c r="AK111" s="59" t="str">
        <f t="shared" si="40"/>
        <v>Rojo</v>
      </c>
    </row>
    <row r="112" spans="1:37" x14ac:dyDescent="0.25">
      <c r="A112" t="str">
        <f>Metas!$A$114</f>
        <v>SA-PY3</v>
      </c>
      <c r="B112" t="str">
        <f>Metas!B117</f>
        <v>SA-PY3.4</v>
      </c>
      <c r="C112" s="123" t="str">
        <f>Metas!R117</f>
        <v/>
      </c>
      <c r="D112" s="9">
        <f>Metas!W117</f>
        <v>0</v>
      </c>
      <c r="E112" s="9">
        <f>Metas!AC117</f>
        <v>0</v>
      </c>
      <c r="F112" s="9">
        <f>Metas!AI117</f>
        <v>0</v>
      </c>
      <c r="J112" s="59" t="str">
        <f t="shared" si="37"/>
        <v>Azul</v>
      </c>
      <c r="S112" s="59" t="str">
        <f t="shared" si="38"/>
        <v>Rojo</v>
      </c>
      <c r="AB112" s="59" t="str">
        <f t="shared" si="39"/>
        <v>Rojo</v>
      </c>
      <c r="AK112" s="59" t="str">
        <f t="shared" si="40"/>
        <v>Rojo</v>
      </c>
    </row>
    <row r="113" spans="1:37" x14ac:dyDescent="0.25">
      <c r="A113" t="str">
        <f>Metas!$A$114</f>
        <v>SA-PY3</v>
      </c>
      <c r="B113" t="str">
        <f>Metas!B118</f>
        <v>SA-PY3.5</v>
      </c>
      <c r="C113" s="123">
        <f>Metas!R118</f>
        <v>1</v>
      </c>
      <c r="D113" s="9">
        <f>Metas!W118</f>
        <v>74.900000000000006</v>
      </c>
      <c r="E113" s="9">
        <f>Metas!AC118</f>
        <v>236.70000000000002</v>
      </c>
      <c r="F113" s="9">
        <f>Metas!AI118</f>
        <v>236.70000000000002</v>
      </c>
      <c r="J113" s="59" t="str">
        <f t="shared" si="37"/>
        <v>Azul</v>
      </c>
      <c r="S113" s="59" t="str">
        <f t="shared" si="38"/>
        <v>Azul</v>
      </c>
      <c r="AB113" s="59" t="str">
        <f t="shared" si="39"/>
        <v>Azul</v>
      </c>
      <c r="AK113" s="59" t="str">
        <f t="shared" si="40"/>
        <v>Azul</v>
      </c>
    </row>
    <row r="114" spans="1:37" x14ac:dyDescent="0.25">
      <c r="A114" t="str">
        <f>Metas!A120</f>
        <v>SA-PY5</v>
      </c>
      <c r="B114" t="str">
        <f>Metas!B120</f>
        <v>SA-PY5.1</v>
      </c>
      <c r="C114" s="123" t="str">
        <f>Metas!R120</f>
        <v/>
      </c>
      <c r="D114" s="9">
        <f>Metas!W120</f>
        <v>0</v>
      </c>
      <c r="E114" s="9">
        <f>Metas!AC120</f>
        <v>0</v>
      </c>
      <c r="F114" s="9">
        <f>Metas!AI120</f>
        <v>0</v>
      </c>
      <c r="J114" s="59" t="str">
        <f t="shared" si="37"/>
        <v>Azul</v>
      </c>
      <c r="S114" s="59" t="str">
        <f t="shared" si="38"/>
        <v>Rojo</v>
      </c>
      <c r="AB114" s="59" t="str">
        <f t="shared" si="39"/>
        <v>Rojo</v>
      </c>
      <c r="AK114" s="59" t="str">
        <f t="shared" si="40"/>
        <v>Rojo</v>
      </c>
    </row>
    <row r="115" spans="1:37" x14ac:dyDescent="0.25">
      <c r="A115" t="str">
        <f>Metas!$A$121</f>
        <v>SA-PY7</v>
      </c>
      <c r="B115" t="str">
        <f>Metas!B121</f>
        <v>SA-PY7.1</v>
      </c>
      <c r="C115" s="123">
        <f>Metas!R121</f>
        <v>0.76018099547511309</v>
      </c>
      <c r="D115" s="9">
        <f>Metas!W121</f>
        <v>122</v>
      </c>
      <c r="E115" s="9">
        <f>Metas!AC121</f>
        <v>177.1</v>
      </c>
      <c r="F115" s="9">
        <f>Metas!AI121</f>
        <v>177.1</v>
      </c>
      <c r="J115" s="59" t="str">
        <f t="shared" si="37"/>
        <v>Azul</v>
      </c>
      <c r="S115" s="59" t="str">
        <f t="shared" si="38"/>
        <v>Azul</v>
      </c>
      <c r="AB115" s="59" t="str">
        <f t="shared" si="39"/>
        <v>Azul</v>
      </c>
      <c r="AK115" s="59" t="str">
        <f t="shared" si="40"/>
        <v>Azul</v>
      </c>
    </row>
    <row r="116" spans="1:37" x14ac:dyDescent="0.25">
      <c r="A116" t="str">
        <f>Metas!$A$121</f>
        <v>SA-PY7</v>
      </c>
      <c r="B116">
        <f>Metas!B122</f>
        <v>0</v>
      </c>
      <c r="C116" s="123"/>
      <c r="D116" s="9">
        <f>Metas!W122</f>
        <v>0</v>
      </c>
      <c r="E116" s="9">
        <f>Metas!AC122</f>
        <v>0</v>
      </c>
      <c r="F116" s="9">
        <f>Metas!AI122</f>
        <v>0</v>
      </c>
      <c r="J116" s="59" t="str">
        <f t="shared" si="37"/>
        <v>Rojo</v>
      </c>
      <c r="S116" s="59" t="str">
        <f t="shared" si="38"/>
        <v>Rojo</v>
      </c>
      <c r="AB116" s="59" t="str">
        <f t="shared" si="39"/>
        <v>Rojo</v>
      </c>
      <c r="AK116" s="59" t="str">
        <f t="shared" si="40"/>
        <v>Rojo</v>
      </c>
    </row>
    <row r="117" spans="1:37" x14ac:dyDescent="0.25">
      <c r="A117" t="str">
        <f>Metas!$A$121</f>
        <v>SA-PY7</v>
      </c>
      <c r="B117">
        <f>Metas!B123</f>
        <v>0</v>
      </c>
      <c r="C117" s="123"/>
      <c r="D117" s="9">
        <f>Metas!W123</f>
        <v>0</v>
      </c>
      <c r="E117" s="9">
        <f>Metas!AC123</f>
        <v>0</v>
      </c>
      <c r="F117" s="9">
        <f>Metas!AI123</f>
        <v>0</v>
      </c>
      <c r="J117" s="59" t="str">
        <f t="shared" si="37"/>
        <v>Rojo</v>
      </c>
      <c r="S117" s="59" t="str">
        <f t="shared" si="38"/>
        <v>Rojo</v>
      </c>
      <c r="AB117" s="59" t="str">
        <f t="shared" si="39"/>
        <v>Rojo</v>
      </c>
      <c r="AK117" s="59" t="str">
        <f t="shared" si="40"/>
        <v>Rojo</v>
      </c>
    </row>
    <row r="118" spans="1:37" x14ac:dyDescent="0.25">
      <c r="D118" s="9"/>
      <c r="E118" s="9"/>
      <c r="F118" s="9"/>
      <c r="J118" s="59"/>
      <c r="S118" s="59" t="str">
        <f t="shared" si="38"/>
        <v>Rojo</v>
      </c>
      <c r="AB118" s="59" t="str">
        <f t="shared" si="39"/>
        <v>Rojo</v>
      </c>
      <c r="AK118" s="59" t="str">
        <f t="shared" si="40"/>
        <v>Rojo</v>
      </c>
    </row>
    <row r="119" spans="1:37" x14ac:dyDescent="0.25">
      <c r="A119" t="s">
        <v>282</v>
      </c>
    </row>
    <row r="120" spans="1:37" x14ac:dyDescent="0.25">
      <c r="A120" t="s">
        <v>283</v>
      </c>
    </row>
    <row r="121" spans="1:37" x14ac:dyDescent="0.25">
      <c r="A121" t="s">
        <v>284</v>
      </c>
    </row>
    <row r="122" spans="1:37" x14ac:dyDescent="0.25">
      <c r="A122" t="s">
        <v>285</v>
      </c>
    </row>
  </sheetData>
  <customSheetViews>
    <customSheetView guid="{FC774746-3857-4381-B35D-AC071296263D}" state="hidden" topLeftCell="E1">
      <selection activeCell="N5" sqref="N5"/>
      <pageMargins left="0.7" right="0.7" top="0.75" bottom="0.75" header="0.3" footer="0.3"/>
    </customSheetView>
  </customSheetViews>
  <mergeCells count="5">
    <mergeCell ref="C1:F1"/>
    <mergeCell ref="J1:P1"/>
    <mergeCell ref="S1:Y1"/>
    <mergeCell ref="AB1:AH1"/>
    <mergeCell ref="AK1:AQ1"/>
  </mergeCells>
  <conditionalFormatting sqref="C4:C117">
    <cfRule type="cellIs" dxfId="39" priority="41" operator="equal">
      <formula>""</formula>
    </cfRule>
    <cfRule type="cellIs" dxfId="38" priority="42" operator="greaterThanOrEqual">
      <formula>25%</formula>
    </cfRule>
    <cfRule type="cellIs" dxfId="37" priority="43" operator="between">
      <formula>20%</formula>
      <formula>24.99%</formula>
    </cfRule>
    <cfRule type="cellIs" dxfId="36" priority="44" operator="between">
      <formula>9%</formula>
      <formula>19.99%</formula>
    </cfRule>
    <cfRule type="cellIs" dxfId="35" priority="45" operator="lessThanOrEqual">
      <formula>8.99%</formula>
    </cfRule>
  </conditionalFormatting>
  <conditionalFormatting sqref="D3">
    <cfRule type="cellIs" dxfId="34" priority="36" operator="equal">
      <formula>""</formula>
    </cfRule>
    <cfRule type="cellIs" dxfId="33" priority="37" operator="greaterThanOrEqual">
      <formula>50%</formula>
    </cfRule>
    <cfRule type="cellIs" dxfId="32" priority="38" operator="between">
      <formula>37%</formula>
      <formula>49.99%</formula>
    </cfRule>
    <cfRule type="cellIs" dxfId="31" priority="39" operator="between">
      <formula>16%</formula>
      <formula>36.99%</formula>
    </cfRule>
    <cfRule type="cellIs" dxfId="30" priority="40" operator="lessThanOrEqual">
      <formula>15.99%</formula>
    </cfRule>
  </conditionalFormatting>
  <conditionalFormatting sqref="D4:D33">
    <cfRule type="cellIs" dxfId="29" priority="31" operator="equal">
      <formula>""</formula>
    </cfRule>
    <cfRule type="cellIs" dxfId="28" priority="32" operator="greaterThanOrEqual">
      <formula>50%</formula>
    </cfRule>
    <cfRule type="cellIs" dxfId="27" priority="33" operator="between">
      <formula>37%</formula>
      <formula>49.99%</formula>
    </cfRule>
    <cfRule type="cellIs" dxfId="26" priority="34" operator="between">
      <formula>16%</formula>
      <formula>36.99%</formula>
    </cfRule>
    <cfRule type="cellIs" dxfId="25" priority="35" operator="lessThanOrEqual">
      <formula>15.99%</formula>
    </cfRule>
  </conditionalFormatting>
  <conditionalFormatting sqref="E3">
    <cfRule type="cellIs" dxfId="24" priority="26" operator="equal">
      <formula>""</formula>
    </cfRule>
    <cfRule type="cellIs" dxfId="23" priority="27" operator="greaterThanOrEqual">
      <formula>75%</formula>
    </cfRule>
    <cfRule type="cellIs" dxfId="22" priority="28" operator="between">
      <formula>56%</formula>
      <formula>74.99%</formula>
    </cfRule>
    <cfRule type="cellIs" dxfId="21" priority="29" operator="between">
      <formula>25%</formula>
      <formula>55.99%</formula>
    </cfRule>
    <cfRule type="cellIs" dxfId="20" priority="30" operator="lessThanOrEqual">
      <formula>24.99%</formula>
    </cfRule>
  </conditionalFormatting>
  <conditionalFormatting sqref="E4:E33">
    <cfRule type="cellIs" dxfId="19" priority="21" operator="equal">
      <formula>""</formula>
    </cfRule>
    <cfRule type="cellIs" dxfId="18" priority="22" operator="greaterThanOrEqual">
      <formula>75%</formula>
    </cfRule>
    <cfRule type="cellIs" dxfId="17" priority="23" operator="between">
      <formula>56%</formula>
      <formula>74.99%</formula>
    </cfRule>
    <cfRule type="cellIs" dxfId="16" priority="24" operator="between">
      <formula>25%</formula>
      <formula>55.99%</formula>
    </cfRule>
    <cfRule type="cellIs" dxfId="15" priority="25" operator="lessThanOrEqual">
      <formula>24.99%</formula>
    </cfRule>
  </conditionalFormatting>
  <conditionalFormatting sqref="F3">
    <cfRule type="cellIs" dxfId="14" priority="16" operator="equal">
      <formula>""</formula>
    </cfRule>
    <cfRule type="cellIs" dxfId="13" priority="17" operator="greaterThanOrEqual">
      <formula>99%</formula>
    </cfRule>
    <cfRule type="cellIs" dxfId="12" priority="18" operator="between">
      <formula>76%</formula>
      <formula>98.99%</formula>
    </cfRule>
    <cfRule type="cellIs" dxfId="11" priority="19" operator="between">
      <formula>34%</formula>
      <formula>75.99%</formula>
    </cfRule>
    <cfRule type="cellIs" dxfId="10" priority="20" operator="lessThanOrEqual">
      <formula>33.99%</formula>
    </cfRule>
  </conditionalFormatting>
  <conditionalFormatting sqref="F4:F34">
    <cfRule type="cellIs" dxfId="9" priority="11" operator="equal">
      <formula>""</formula>
    </cfRule>
    <cfRule type="cellIs" dxfId="8" priority="12" operator="greaterThanOrEqual">
      <formula>99%</formula>
    </cfRule>
    <cfRule type="cellIs" dxfId="7" priority="13" operator="between">
      <formula>76%</formula>
      <formula>98.99%</formula>
    </cfRule>
    <cfRule type="cellIs" dxfId="6" priority="14" operator="between">
      <formula>34%</formula>
      <formula>75.99%</formula>
    </cfRule>
    <cfRule type="cellIs" dxfId="5" priority="15" operator="lessThanOrEqual">
      <formula>33.99%</formula>
    </cfRule>
  </conditionalFormatting>
  <conditionalFormatting sqref="C3">
    <cfRule type="cellIs" dxfId="4" priority="6" operator="equal">
      <formula>0%</formula>
    </cfRule>
    <cfRule type="cellIs" dxfId="3" priority="7" operator="greaterThanOrEqual">
      <formula>25%</formula>
    </cfRule>
    <cfRule type="cellIs" dxfId="2" priority="8" operator="between">
      <formula>20%</formula>
      <formula>24.99%</formula>
    </cfRule>
    <cfRule type="cellIs" dxfId="1" priority="9" operator="between">
      <formula>9%</formula>
      <formula>19.99%</formula>
    </cfRule>
    <cfRule type="cellIs" dxfId="0" priority="10" operator="lessThanOrEqual">
      <formula>8.99%</formula>
    </cfRule>
  </conditionalFormatting>
  <pageMargins left="0.7" right="0.7" top="0.75" bottom="0.75" header="0.3" footer="0.3"/>
  <pageSetup paperSize="9" orientation="portrait" r:id="rId1"/>
  <ignoredErrors>
    <ignoredError sqref="A87"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Escala</vt:lpstr>
      <vt:lpstr>Metas</vt:lpstr>
      <vt:lpstr>Plan</vt:lpstr>
      <vt:lpstr>Descripcion Evi.</vt:lpstr>
      <vt:lpstr>Ejecucion</vt:lpstr>
      <vt:lpstr>1 Trimestre</vt:lpstr>
      <vt:lpstr>2 Trimestre</vt:lpstr>
      <vt:lpstr>3 Trimestre</vt:lpstr>
      <vt:lpstr>Cumplimiento</vt:lpstr>
      <vt:lpstr>Proyectos</vt:lpstr>
      <vt:lpstr>Plan desarroollo</vt:lpstr>
      <vt:lpstr>PFormacion</vt:lpstr>
      <vt:lpstr>Hoja2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Leidy Rocio Murillo</cp:lastModifiedBy>
  <cp:lastPrinted>2018-07-16T14:56:05Z</cp:lastPrinted>
  <dcterms:created xsi:type="dcterms:W3CDTF">2018-03-27T07:37:16Z</dcterms:created>
  <dcterms:modified xsi:type="dcterms:W3CDTF">2019-01-17T21:06:25Z</dcterms:modified>
</cp:coreProperties>
</file>